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25035" windowHeight="12360" tabRatio="994" activeTab="9"/>
  </bookViews>
  <sheets>
    <sheet name="Belubula" sheetId="1" r:id="rId1"/>
    <sheet name="Bega" sheetId="2" r:id="rId2"/>
    <sheet name="Border (Post 2001)" sheetId="3" r:id="rId3"/>
    <sheet name="Border (Pre 2001)" sheetId="4" r:id="rId4"/>
    <sheet name="Cudgegong" sheetId="5" r:id="rId5"/>
    <sheet name="Darling" sheetId="6" r:id="rId6"/>
    <sheet name="Glennies" sheetId="7" r:id="rId7"/>
    <sheet name="Gwydir (Post 1998)" sheetId="8" r:id="rId8"/>
    <sheet name="Gwydir (Pre 1998)" sheetId="9" r:id="rId9"/>
    <sheet name="Hunter" sheetId="10" r:id="rId10"/>
    <sheet name="Lachlan" sheetId="11" r:id="rId11"/>
    <sheet name="Namoi (Post 1998)" sheetId="12" r:id="rId12"/>
    <sheet name="Namoi (Pre 1998)" sheetId="13" r:id="rId13"/>
    <sheet name="Macquarie" sheetId="14" r:id="rId14"/>
    <sheet name="Manilla" sheetId="15" r:id="rId15"/>
    <sheet name="Murray" sheetId="16" r:id="rId16"/>
    <sheet name="Murrumbidgee" sheetId="17" r:id="rId17"/>
    <sheet name="Paterson" sheetId="18" r:id="rId18"/>
    <sheet name="Peel" sheetId="19" r:id="rId19"/>
    <sheet name="Severn" sheetId="20" r:id="rId20"/>
    <sheet name="Toonumbar" sheetId="21" r:id="rId21"/>
  </sheets>
  <externalReferences>
    <externalReference r:id="rId24"/>
  </externalReferences>
  <definedNames>
    <definedName name="_xlnm.Print_Titles" localSheetId="1">'Bega'!$4:$6</definedName>
    <definedName name="_xlnm.Print_Titles" localSheetId="0">'Belubula'!$4:$6</definedName>
    <definedName name="_xlnm.Print_Titles" localSheetId="2">'Border (Post 2001)'!$4:$5</definedName>
    <definedName name="_xlnm.Print_Titles" localSheetId="3">'Border (Pre 2001)'!$4:$6</definedName>
    <definedName name="_xlnm.Print_Titles" localSheetId="4">'Cudgegong'!$4:$6</definedName>
    <definedName name="_xlnm.Print_Titles" localSheetId="5">'Darling'!$4:$6</definedName>
    <definedName name="_xlnm.Print_Titles" localSheetId="6">'Glennies'!$4:$6</definedName>
    <definedName name="_xlnm.Print_Titles" localSheetId="7">'Gwydir (Post 1998)'!$4:$5</definedName>
    <definedName name="_xlnm.Print_Titles" localSheetId="8">'Gwydir (Pre 1998)'!$4:$6</definedName>
    <definedName name="_xlnm.Print_Titles" localSheetId="9">'Hunter'!$4:$6</definedName>
    <definedName name="_xlnm.Print_Titles" localSheetId="10">'Lachlan'!$4:$6</definedName>
    <definedName name="_xlnm.Print_Titles" localSheetId="13">'Macquarie'!$4:$6</definedName>
    <definedName name="_xlnm.Print_Titles" localSheetId="14">'Manilla'!$4:$6</definedName>
    <definedName name="_xlnm.Print_Titles" localSheetId="15">'Murray'!$4:$6</definedName>
    <definedName name="_xlnm.Print_Titles" localSheetId="16">'Murrumbidgee'!$4:$6</definedName>
    <definedName name="_xlnm.Print_Titles" localSheetId="11">'Namoi (Post 1998)'!$4:$5</definedName>
    <definedName name="_xlnm.Print_Titles" localSheetId="12">'Namoi (Pre 1998)'!$4:$6</definedName>
    <definedName name="_xlnm.Print_Titles" localSheetId="17">'Paterson'!$4:$6</definedName>
    <definedName name="_xlnm.Print_Titles" localSheetId="18">'Peel'!$4:$6</definedName>
    <definedName name="_xlnm.Print_Titles" localSheetId="19">'Severn'!$4:$6</definedName>
    <definedName name="_xlnm.Print_Titles" localSheetId="20">'Toonumbar'!$4:$6</definedName>
  </definedNames>
  <calcPr fullCalcOnLoad="1"/>
</workbook>
</file>

<file path=xl/comments4.xml><?xml version="1.0" encoding="utf-8"?>
<comments xmlns="http://schemas.openxmlformats.org/spreadsheetml/2006/main">
  <authors>
    <author>Paul Simpson</author>
  </authors>
  <commentList>
    <comment ref="F49" authorId="0">
      <text>
        <r>
          <rPr>
            <b/>
            <sz val="8"/>
            <rFont val="Tahoma"/>
            <family val="0"/>
          </rPr>
          <t>Paul Simpson:</t>
        </r>
        <r>
          <rPr>
            <sz val="8"/>
            <rFont val="Tahoma"/>
            <family val="0"/>
          </rPr>
          <t xml:space="preserve">
The 1998/99 Annual Allocation Plan indicates that 60GL was carried over into 1997/98, which is around 23% of entitlement. This exceeds the stated limit. What was carried over officially? </t>
        </r>
      </text>
    </comment>
    <comment ref="H49" authorId="0">
      <text>
        <r>
          <rPr>
            <b/>
            <sz val="8"/>
            <rFont val="Tahoma"/>
            <family val="0"/>
          </rPr>
          <t>Paul Simpson:</t>
        </r>
        <r>
          <rPr>
            <sz val="8"/>
            <rFont val="Tahoma"/>
            <family val="0"/>
          </rPr>
          <t xml:space="preserve">
Advice from Neil Rickard(?) indicates that "full carryover" was authorised. Does this mean 100% limit or just whatever they have left?</t>
        </r>
      </text>
    </comment>
  </commentList>
</comments>
</file>

<file path=xl/sharedStrings.xml><?xml version="1.0" encoding="utf-8"?>
<sst xmlns="http://schemas.openxmlformats.org/spreadsheetml/2006/main" count="1722" uniqueCount="247">
  <si>
    <t>All irrigators were credited with 150% allocation for 98/99 season, under a new allocation management system called Continuous Accounting (CA). CA will allow to carryover unused allocation and then receive new allocation up to a combined limit of 150%, but will be limited to a max individual on-allocation usage of 100% during a season.</t>
  </si>
  <si>
    <t>40% "B"</t>
  </si>
  <si>
    <t>25% "B"</t>
  </si>
  <si>
    <t>2001/2002</t>
  </si>
  <si>
    <t>Carryover volume = 380 GL</t>
  </si>
  <si>
    <t>The Valley Account Balance has been reset to reconsile the accounting system with the allocation process.</t>
  </si>
  <si>
    <t>Valley % of 
Entitlement
Announced</t>
  </si>
  <si>
    <t>Valley Account Limit of 150% of valley entitlement was increased to 200%.</t>
  </si>
  <si>
    <t>Valley % of
Entitlement
Announced</t>
  </si>
  <si>
    <t>Carryover cancelled on the announcement of 100% allocation.</t>
  </si>
  <si>
    <t>2002/2003</t>
  </si>
  <si>
    <t>Under a new allocation management system called Continuous Accounting (CA). CA will allow to carryover unused allocation and then receive new allocation up to a combined valley limit of 105%, but will be limited to a max individual on-allocation usage of 100% during a season.</t>
  </si>
  <si>
    <t>Period covered in the next assesment period.</t>
  </si>
  <si>
    <t>2003/2004</t>
  </si>
  <si>
    <t>High Security = 50%</t>
  </si>
  <si>
    <t>Reg Director</t>
  </si>
  <si>
    <t>High Security = 100%</t>
  </si>
  <si>
    <t xml:space="preserve">High Security = 100% </t>
  </si>
  <si>
    <t>High Security = 70%</t>
  </si>
  <si>
    <t>The Valley Account Balance has been reset to reconcile the accounting system with the allocation process in October and November.</t>
  </si>
  <si>
    <t xml:space="preserve">                                          History of Water Year</t>
  </si>
  <si>
    <t>All irrigators were credited with 150% allocation for 98/99 season, under a new allocation management system called Continuous Accounting (CA). CA will allow licence holders to carryover unused allocation and then receive new allocation up to a combined valley limit of 150%.</t>
  </si>
  <si>
    <t>Namoi Allocation Announcement History - Continuous Accounting (1998/99 Season - Current)</t>
  </si>
  <si>
    <t>Namoi Allocation Announcement History - Volumetric Allocation (1977/78 - 1997/98 Seasons)</t>
  </si>
  <si>
    <t>At the beginning of the season individual accounts were at 121% and by 1/12/2000 it was increased to the max limit of 150%.</t>
  </si>
  <si>
    <t>Change of water year from October-September to July-June.</t>
  </si>
  <si>
    <t>GwydirAllocation Announcement History - Continuous Accounting (1998/99 Season - Current)</t>
  </si>
  <si>
    <t xml:space="preserve">                                     History of Water Year</t>
  </si>
  <si>
    <t>Border Allocation Announcement History - Continuous Accounting (2001/02 Season - Current)</t>
  </si>
  <si>
    <t>GwydirAllocation Announcement History - Volumetric Allocation (1980/81 - 1997/98 Seasons)</t>
  </si>
  <si>
    <t xml:space="preserve">                                        History of Water Year</t>
  </si>
  <si>
    <t>Border Allocation Announcement History - Volumetric Allocation (1981/82 - 2000/01 Seasons)</t>
  </si>
  <si>
    <t>Deliverability by end Feb 2004 = 75% of General Security and 63% of High Security. High Security Allocation=78%</t>
  </si>
  <si>
    <t>Deliverability by end Feb 2004 = 80% of General Security and 80% of High Security. High Security Allocation=95%</t>
  </si>
  <si>
    <t>Deliverability by end Feb 2004 = 75% of General Security and 75% of High Security. High Security Allocation=84%</t>
  </si>
  <si>
    <t>Deliverability by end Feb 2004 = 75% of General Security and 75% of High Security. High Security Allocation=80%</t>
  </si>
  <si>
    <t>Deliverability by end Feb 2004 = 80% of General Security and 80% of High Security. High Security Allocation=90%</t>
  </si>
  <si>
    <t>Vines = 0.3ML/Ha; Citrus = 1.6 ML/Ha &amp; other Orchads = 0.7 ML/Ha</t>
  </si>
  <si>
    <t>Vines = 4.0ML/Ha; Citrus = 5.0 ML/Ha &amp; other Orchads = 7.0 ML/Ha</t>
  </si>
  <si>
    <t>To be confirmed</t>
  </si>
  <si>
    <t>Preliminary Only</t>
  </si>
  <si>
    <t>Deliverability by end Feb 2004 = 85% of General Security and 85% of High Security. High Security Allocation=95%</t>
  </si>
  <si>
    <t>2004/2005</t>
  </si>
  <si>
    <t>2004/05</t>
  </si>
  <si>
    <t>Local Water Utility = 100% and all other HS = 100%</t>
  </si>
  <si>
    <t>100% HS</t>
  </si>
  <si>
    <t>High Security = 20%</t>
  </si>
  <si>
    <t>Local Water Utility, S &amp; D and all other HS = 100%</t>
  </si>
  <si>
    <t>2005/06</t>
  </si>
  <si>
    <t>Local Water Utility and all other HS = 100%</t>
  </si>
  <si>
    <t>2005/2006</t>
  </si>
  <si>
    <t>2006/07</t>
  </si>
  <si>
    <t>DNR</t>
  </si>
  <si>
    <t>2006/2007</t>
  </si>
  <si>
    <t>Water Sharing Plan commencement. Refer to Border Rivers WMA AWD Summary.xls</t>
  </si>
  <si>
    <t>Water Sharing Plan commencement. Refer to Macquarie WMA AWD Summary.xls</t>
  </si>
  <si>
    <t>Water Sharing Plan commencement. Refer to Lower Darling WMA AWD Summary.xls</t>
  </si>
  <si>
    <t>Water Sharing Plan commencement. Refer to Hunter WMA AWD Summary.xls</t>
  </si>
  <si>
    <t>Water Sharing Plan commencement. Refer to Gwydir WMA AWD Summary.xls</t>
  </si>
  <si>
    <t>Water Sharing Plan commencement. Refer to Lachlan WMA AWD Summary.xls</t>
  </si>
  <si>
    <t>Water Sharing Plan commencement. Refer to Namoi WMA AWD Summary.xls</t>
  </si>
  <si>
    <t>Water Sharing Plan commencement. Refer to Murray WMA AWD Summary.xls</t>
  </si>
  <si>
    <t>Water Sharing Plan commencement. Refer to Murrumbidgee WMA AWD Summary.xls</t>
  </si>
  <si>
    <t>2010/11</t>
  </si>
  <si>
    <t>Water Sharing Plan commencement. Refer to Peel WMA AWD Summary.xls</t>
  </si>
  <si>
    <t>Refer to worksheet "Border (Post 2001)"</t>
  </si>
  <si>
    <t>Water Sharing Plan commencement. Refer to Paterson WMA AWD Summary.xls</t>
  </si>
  <si>
    <t>2011/12</t>
  </si>
  <si>
    <t>Water Sharing Plan commencement. Refer to Belubula WMA AWD Summary.xls</t>
  </si>
  <si>
    <t>Water Sharing Plan commencement. Refer to Bega and Brogo WMA AWD Summary.xls</t>
  </si>
  <si>
    <t>2007/2008</t>
  </si>
  <si>
    <t>2007/08</t>
  </si>
  <si>
    <t>Carryover from last season
(Incl. GS &amp; Conveyancing)</t>
  </si>
  <si>
    <t>DWE</t>
  </si>
  <si>
    <t>Local Water Utility=100%, S &amp; D and all other HS = 100%</t>
  </si>
  <si>
    <t>A reconciled water order deficit of 2268Ml for the period 1/4/07 - 1/4/08 has been added to usage.</t>
  </si>
  <si>
    <t>2008/09</t>
  </si>
  <si>
    <t>NOW</t>
  </si>
  <si>
    <t>2009/10</t>
  </si>
  <si>
    <t xml:space="preserve"> BELUBULA RIVER VALLEY</t>
  </si>
  <si>
    <t>History of Allocation Scheme</t>
  </si>
  <si>
    <t>History of Water Year</t>
  </si>
  <si>
    <t>Belubula Allocation Announcement History</t>
  </si>
  <si>
    <t>Date</t>
  </si>
  <si>
    <t>Allocation</t>
  </si>
  <si>
    <t>Overdraw</t>
  </si>
  <si>
    <t>Announced</t>
  </si>
  <si>
    <t>Year</t>
  </si>
  <si>
    <t>Next Season</t>
  </si>
  <si>
    <t>By</t>
  </si>
  <si>
    <t>Comments</t>
  </si>
  <si>
    <t>1981/82</t>
  </si>
  <si>
    <t>MINISTER</t>
  </si>
  <si>
    <t>1982/83</t>
  </si>
  <si>
    <t>Ban imposed on low security irrigation.</t>
  </si>
  <si>
    <t>1983/84</t>
  </si>
  <si>
    <t>1984/85</t>
  </si>
  <si>
    <t>1985/86</t>
  </si>
  <si>
    <t>1986/87</t>
  </si>
  <si>
    <t>1987/88</t>
  </si>
  <si>
    <t>1988/89</t>
  </si>
  <si>
    <t>1989/90</t>
  </si>
  <si>
    <t>1990/91</t>
  </si>
  <si>
    <t>1991/92</t>
  </si>
  <si>
    <t>MANAGER</t>
  </si>
  <si>
    <t>1992/93</t>
  </si>
  <si>
    <t>1993/94</t>
  </si>
  <si>
    <t>Manager</t>
  </si>
  <si>
    <t>1994/95</t>
  </si>
  <si>
    <t>1995/96</t>
  </si>
  <si>
    <t>1996/97</t>
  </si>
  <si>
    <t>Reg. Director</t>
  </si>
  <si>
    <t>1997/98</t>
  </si>
  <si>
    <t>1998/99</t>
  </si>
  <si>
    <t xml:space="preserve"> BEGA RIVER VALLEY</t>
  </si>
  <si>
    <t>Bega River Allocation Announcement History</t>
  </si>
  <si>
    <t>Late Allocation announcement due to off-allocation until 23/11/97 and confusion over protocols following Dept restructure.</t>
  </si>
  <si>
    <t xml:space="preserve"> BORDER RIVERS</t>
  </si>
  <si>
    <t>For 'A' Allocation. Change in system.</t>
  </si>
  <si>
    <t>For 'B' Allocation.</t>
  </si>
  <si>
    <t>For 'A' Allocation.</t>
  </si>
  <si>
    <t>For 'A' Alloc. 90/91 C-Over till Dec.</t>
  </si>
  <si>
    <r>
      <t xml:space="preserve">For 'B' Allocation.  </t>
    </r>
    <r>
      <rPr>
        <b/>
        <sz val="10"/>
        <rFont val="Arial"/>
        <family val="0"/>
      </rPr>
      <t>No Carryover provision</t>
    </r>
  </si>
  <si>
    <t>16-12-1996 16-12-1996</t>
  </si>
  <si>
    <t>100% "A" 65% "B"</t>
  </si>
  <si>
    <t>0%
0%</t>
  </si>
  <si>
    <t>Max. of 20% carryover allowed with a 10% evaporation reduction factor applicable at 1 Jan &amp; 1 Feb. All unused carryover by end Feb will be forfeited.</t>
  </si>
  <si>
    <t>15-10-1997
15-10-1997</t>
  </si>
  <si>
    <t>100% "A"
55% "B"</t>
  </si>
  <si>
    <t>DIRECTOR
DIRECTOR</t>
  </si>
  <si>
    <t>Carryover limit increased to 100% with no reduction factor applicable.</t>
  </si>
  <si>
    <t>100% "A"</t>
  </si>
  <si>
    <t>DIRECTOR</t>
  </si>
  <si>
    <t>35% "B"</t>
  </si>
  <si>
    <t xml:space="preserve"> CUDGEGONG RIVER VALLEY</t>
  </si>
  <si>
    <t>Cudgegong Allocation Announcement History</t>
  </si>
  <si>
    <t>Darling River</t>
  </si>
  <si>
    <t>Darling Allocation Announcement History</t>
  </si>
  <si>
    <t xml:space="preserve"> LOWER HUNTER RIVER VALLEY</t>
  </si>
  <si>
    <t>Lower Hunter Allocation Announcement History</t>
  </si>
  <si>
    <t xml:space="preserve"> GWYDIR RIVER VALLEY</t>
  </si>
  <si>
    <t>1980/81</t>
  </si>
  <si>
    <t>No restriction prior to this date(temp).</t>
  </si>
  <si>
    <t>Carrying 33% over from previous year.</t>
  </si>
  <si>
    <t>Volumetric Scheme started this season.</t>
  </si>
  <si>
    <t>Water Year now October - September.</t>
  </si>
  <si>
    <t>Carry Over Permitted.</t>
  </si>
  <si>
    <t>Max Alloc., min. reserve, 25% C-Over.</t>
  </si>
  <si>
    <t>Pumped over a 2 week period early Jan.</t>
  </si>
  <si>
    <t xml:space="preserve">Unused water can be carried over into next season. Shared </t>
  </si>
  <si>
    <t>access will be available from any unregulated flow events.</t>
  </si>
  <si>
    <t xml:space="preserve"> UPPER HUNTER RIVER VALLEY</t>
  </si>
  <si>
    <t>Upper Hunter Allocation Announcement History</t>
  </si>
  <si>
    <t>Voluntary Scheme - September 1980</t>
  </si>
  <si>
    <t>Volumetric Allocation Scheme Commenced</t>
  </si>
  <si>
    <t>Upper Hunter Allocation.</t>
  </si>
  <si>
    <t>Lower Hunter Allocation.</t>
  </si>
  <si>
    <t xml:space="preserve"> LACHLAN RIVER VALLEY</t>
  </si>
  <si>
    <t>Lachlan Allocation Announcement History</t>
  </si>
  <si>
    <t>All Valley Storages are full.</t>
  </si>
  <si>
    <t>Reg. Direct.</t>
  </si>
  <si>
    <t>Spill of Wyangala therefore Carry-Over cancelled.</t>
  </si>
  <si>
    <t>Reg. Direct</t>
  </si>
  <si>
    <t>Reg.Direct.</t>
  </si>
  <si>
    <t xml:space="preserve"> MACQUARIE RIVER VALLEY</t>
  </si>
  <si>
    <t>Macquarie Allocation Announcement History</t>
  </si>
  <si>
    <t>Volumetric Allocation Scheme Commenced.</t>
  </si>
  <si>
    <t>540 GL used</t>
  </si>
  <si>
    <t>506 GL used</t>
  </si>
  <si>
    <t>175 GL used plus a carryover of 160 GL.</t>
  </si>
  <si>
    <t>November inflows not converted to allocation due to 70% plus</t>
  </si>
  <si>
    <t xml:space="preserve"> 25% Carryover  = 95% total allocation available.</t>
  </si>
  <si>
    <t>Later Relaxation to allow 85% allocation.</t>
  </si>
  <si>
    <t>50 GL WLA not available due to 10% Allocation.</t>
  </si>
  <si>
    <t>Carry-over forfeited due to effective spill of Burrendong on 8/8/98.</t>
  </si>
  <si>
    <t xml:space="preserve"> MANILLA RIVER VALLEY</t>
  </si>
  <si>
    <t>Manilla Allocation Announcement History</t>
  </si>
  <si>
    <t>Restricted due to limited resources. Manilla allocation same as</t>
  </si>
  <si>
    <t>Namoi.</t>
  </si>
  <si>
    <t>Link to Namoi allocation no longer applicable.</t>
  </si>
  <si>
    <t>1977/78</t>
  </si>
  <si>
    <t>1978/79</t>
  </si>
  <si>
    <t>1979/80</t>
  </si>
  <si>
    <t>1999/2000</t>
  </si>
  <si>
    <t xml:space="preserve"> MURRUMBIDGEE RIVER VALLEY</t>
  </si>
  <si>
    <t xml:space="preserve"> Murrumbidgee Allocation Announcement History</t>
  </si>
  <si>
    <t>Temporary Scheme this Season.</t>
  </si>
  <si>
    <t>Not Applicable</t>
  </si>
  <si>
    <t>No Restriction this Season.</t>
  </si>
  <si>
    <t>Announced early - assisting irrigation planning</t>
  </si>
  <si>
    <t>Rate of supply was restricted, because of inability of being able to deliver announced allocation in the normal demand period</t>
  </si>
  <si>
    <t>Lowest initial allocation since first year of allocation scheme.</t>
  </si>
  <si>
    <t xml:space="preserve"> NAMOI RIVER VALLEY</t>
  </si>
  <si>
    <t>Voluntary Scheme (Max. 6 ML/Ha).</t>
  </si>
  <si>
    <t>Water changed to October - September.</t>
  </si>
  <si>
    <t>Early announcement-help farm management</t>
  </si>
  <si>
    <t>Restricted Alloc due to limited resource</t>
  </si>
  <si>
    <t>5 GL</t>
  </si>
  <si>
    <t>An overdraw of 5 GL was allowed to be taken between .</t>
  </si>
  <si>
    <t xml:space="preserve"> PATERSON RIVER VALLEY</t>
  </si>
  <si>
    <t>Paterson Allocation Announcement History</t>
  </si>
  <si>
    <t xml:space="preserve"> PEEL RIVER VALLEY</t>
  </si>
  <si>
    <t>Peel Allocation Announcement History</t>
  </si>
  <si>
    <t>Restricted Volume Announced.</t>
  </si>
  <si>
    <t xml:space="preserve"> SEVERN RIVER VALLEY</t>
  </si>
  <si>
    <t>Severn Allocation Announcement History</t>
  </si>
  <si>
    <t>For 'A' Allocation. Change to system.</t>
  </si>
  <si>
    <t>For 'B' Allocation</t>
  </si>
  <si>
    <t>For 'A' Allocation. In hindsight not used.</t>
  </si>
  <si>
    <t>55% "B"</t>
  </si>
  <si>
    <t xml:space="preserve"> RIVER VALLEY</t>
  </si>
  <si>
    <t>Allocation Announcement History</t>
  </si>
  <si>
    <t>15 (6 GL)</t>
  </si>
  <si>
    <t>Carryover from last season</t>
  </si>
  <si>
    <t>Individual Limit</t>
  </si>
  <si>
    <t>Actual Valley Percentage</t>
  </si>
  <si>
    <t>Regional Director</t>
  </si>
  <si>
    <t>15% (100 GL)</t>
  </si>
  <si>
    <t>Only usage prior to 1/9/98 is deemed carryover.</t>
  </si>
  <si>
    <t>The max. carryover from this season to next season has been increased from 30% to 50% of licensed entitlement.</t>
  </si>
  <si>
    <t>10% (60 GL)</t>
  </si>
  <si>
    <t>60% "B"</t>
  </si>
  <si>
    <t>result of all available carryover spilling from Burrendong.</t>
  </si>
  <si>
    <t xml:space="preserve">Reset the allocation to 100% effective from 1/12/1999 as a </t>
  </si>
  <si>
    <t xml:space="preserve"> MURRAY RIVER VALLEY</t>
  </si>
  <si>
    <t>Murray Allocation Announcement History</t>
  </si>
  <si>
    <t>Dartmouth effective - User Alloc. up 10%</t>
  </si>
  <si>
    <t>LOC MEMBER</t>
  </si>
  <si>
    <t>REDUCTION IN OVERDRAW</t>
  </si>
  <si>
    <t>Lowest initial allocation since allocation scheme introduced.</t>
  </si>
  <si>
    <t>Model indicates it to be a 3 in 100 year event.</t>
  </si>
  <si>
    <t>10% Carryover announced on 24 July, increased to 20% on</t>
  </si>
  <si>
    <t>16 February.</t>
  </si>
  <si>
    <t>No carryover provision</t>
  </si>
  <si>
    <t>2000/2001</t>
  </si>
  <si>
    <t>Reset allocation to 100% on 5/5/2000 for the second time.</t>
  </si>
  <si>
    <t>The c/o can be based on scale of development. i.e. individual c/o can be &gt; 100%.</t>
  </si>
  <si>
    <t>15 ML/Ha times the area developed.</t>
  </si>
  <si>
    <t>Most likely allocation, to be announced shortly</t>
  </si>
  <si>
    <t>Date 
Announced</t>
  </si>
  <si>
    <t>Valley 
Account 
Balance</t>
  </si>
  <si>
    <t>Valley 
Percentage 
Used</t>
  </si>
  <si>
    <t>Valley 
Account 
Limit</t>
  </si>
  <si>
    <t>Individual c/o is the greatest of either the entitlement or</t>
  </si>
  <si>
    <t>The allocation = 100% as per the Water Act, since no allocation announcement was made during the season.</t>
  </si>
  <si>
    <t xml:space="preserve">11/11/1998
</t>
  </si>
  <si>
    <t xml:space="preserve">0 %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</si>
</sst>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quot;%&quot;"/>
    <numFmt numFmtId="179" formatCode="0&quot;%&quot;"/>
    <numFmt numFmtId="180" formatCode="0.0"/>
    <numFmt numFmtId="181" formatCode="0.0&quot;%&quot;"/>
    <numFmt numFmtId="182" formatCode="0.00&quot;%&quot;"/>
    <numFmt numFmtId="183" formatCode="0.000&quot;%&quot;"/>
    <numFmt numFmtId="184" formatCode="0.0000&quot;%&quot;"/>
    <numFmt numFmtId="185" formatCode="0.0%"/>
    <numFmt numFmtId="186" formatCode="0.000"/>
    <numFmt numFmtId="187" formatCode="0.0000"/>
    <numFmt numFmtId="188" formatCode="0.000%"/>
    <numFmt numFmtId="189" formatCode="0.0000%"/>
    <numFmt numFmtId="190" formatCode="0.00000%"/>
    <numFmt numFmtId="191" formatCode="0.00000&quot;%&quot;"/>
    <numFmt numFmtId="192" formatCode="0.000000&quot;%&quot;"/>
    <numFmt numFmtId="193" formatCode="0.0000000&quot;%&quot;"/>
    <numFmt numFmtId="194" formatCode="0.000000000000000%"/>
    <numFmt numFmtId="195" formatCode="0.000000%"/>
    <numFmt numFmtId="196" formatCode="0.0000000"/>
    <numFmt numFmtId="197" formatCode="0.000000"/>
    <numFmt numFmtId="198" formatCode="0.00000"/>
    <numFmt numFmtId="199" formatCode="0.0000000%"/>
    <numFmt numFmtId="200" formatCode="0.00000000%"/>
    <numFmt numFmtId="201" formatCode="0.000000000%"/>
    <numFmt numFmtId="202" formatCode="0.0000000000%"/>
    <numFmt numFmtId="203" formatCode="0.00000000000%"/>
    <numFmt numFmtId="204" formatCode="0.000000000000%"/>
    <numFmt numFmtId="205" formatCode="0.0000000000000%"/>
    <numFmt numFmtId="206" formatCode="0.00000000000000%"/>
    <numFmt numFmtId="207" formatCode="0.0000000000000000%"/>
    <numFmt numFmtId="208" formatCode="0.00000000000000000%"/>
    <numFmt numFmtId="209" formatCode="0.000000000000000000%"/>
    <numFmt numFmtId="210" formatCode="mmm\-yyyy"/>
    <numFmt numFmtId="211" formatCode="[$-C09]dddd\,\ d\ mmmm\ yyyy"/>
  </numFmts>
  <fonts count="16">
    <font>
      <sz val="10"/>
      <name val="Arial"/>
      <family val="0"/>
    </font>
    <font>
      <b/>
      <sz val="10"/>
      <name val="Arial"/>
      <family val="0"/>
    </font>
    <font>
      <i/>
      <sz val="10"/>
      <name val="Arial"/>
      <family val="0"/>
    </font>
    <font>
      <b/>
      <i/>
      <sz val="10"/>
      <name val="Arial"/>
      <family val="0"/>
    </font>
    <font>
      <b/>
      <sz val="9"/>
      <name val="Arial"/>
      <family val="2"/>
    </font>
    <font>
      <sz val="14"/>
      <name val="Arial"/>
      <family val="2"/>
    </font>
    <font>
      <b/>
      <sz val="14"/>
      <name val="Arial"/>
      <family val="0"/>
    </font>
    <font>
      <b/>
      <sz val="12"/>
      <name val="Arial"/>
      <family val="2"/>
    </font>
    <font>
      <b/>
      <sz val="16"/>
      <name val="Arial"/>
      <family val="2"/>
    </font>
    <font>
      <sz val="8"/>
      <name val="Tahoma"/>
      <family val="0"/>
    </font>
    <font>
      <b/>
      <sz val="8"/>
      <name val="Tahoma"/>
      <family val="0"/>
    </font>
    <font>
      <b/>
      <sz val="8"/>
      <name val="Arial"/>
      <family val="2"/>
    </font>
    <font>
      <b/>
      <u val="single"/>
      <sz val="10"/>
      <name val="Arial"/>
      <family val="2"/>
    </font>
    <font>
      <sz val="8"/>
      <name val="Arial"/>
      <family val="0"/>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73">
    <border>
      <left/>
      <right/>
      <top/>
      <bottom/>
      <diagonal/>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color indexed="8"/>
      </left>
      <right>
        <color indexed="63"/>
      </right>
      <top style="medium"/>
      <bottom style="medium"/>
    </border>
    <border>
      <left style="hair">
        <color indexed="22"/>
      </left>
      <right style="hair"/>
      <top style="medium"/>
      <bottom>
        <color indexed="63"/>
      </bottom>
    </border>
    <border>
      <left style="medium">
        <color indexed="8"/>
      </left>
      <right style="hair"/>
      <top>
        <color indexed="63"/>
      </top>
      <bottom style="medium"/>
    </border>
    <border>
      <left style="hair">
        <color indexed="22"/>
      </left>
      <right style="hair"/>
      <top>
        <color indexed="63"/>
      </top>
      <bottom style="medium"/>
    </border>
    <border>
      <left style="medium">
        <color indexed="8"/>
      </left>
      <right style="hair"/>
      <top>
        <color indexed="63"/>
      </top>
      <bottom>
        <color indexed="63"/>
      </bottom>
    </border>
    <border>
      <left style="hair">
        <color indexed="22"/>
      </left>
      <right style="hair"/>
      <top>
        <color indexed="63"/>
      </top>
      <bottom>
        <color indexed="63"/>
      </bottom>
    </border>
    <border>
      <left style="medium">
        <color indexed="8"/>
      </left>
      <right style="hair"/>
      <top style="medium"/>
      <bottom style="medium"/>
    </border>
    <border>
      <left style="hair">
        <color indexed="22"/>
      </left>
      <right style="hair"/>
      <top style="medium"/>
      <bottom style="medium"/>
    </border>
    <border>
      <left style="medium"/>
      <right style="medium"/>
      <top style="medium"/>
      <bottom style="medium"/>
    </border>
    <border>
      <left style="medium">
        <color indexed="8"/>
      </left>
      <right style="hair"/>
      <top style="medium"/>
      <bottom>
        <color indexed="63"/>
      </bottom>
    </border>
    <border>
      <left>
        <color indexed="63"/>
      </left>
      <right style="medium"/>
      <top style="medium"/>
      <bottom>
        <color indexed="63"/>
      </bottom>
    </border>
    <border>
      <left style="hair">
        <color indexed="22"/>
      </left>
      <right style="hair"/>
      <top style="medium"/>
      <bottom style="hair"/>
    </border>
    <border>
      <left style="hair"/>
      <right style="hair"/>
      <top>
        <color indexed="63"/>
      </top>
      <bottom>
        <color indexed="63"/>
      </bottom>
    </border>
    <border>
      <left style="hair"/>
      <right>
        <color indexed="63"/>
      </right>
      <top>
        <color indexed="63"/>
      </top>
      <bottom>
        <color indexed="63"/>
      </bottom>
    </border>
    <border>
      <left>
        <color indexed="63"/>
      </left>
      <right style="medium"/>
      <top>
        <color indexed="63"/>
      </top>
      <bottom>
        <color indexed="63"/>
      </bottom>
    </border>
    <border>
      <left style="hair"/>
      <right style="hair"/>
      <top style="medium"/>
      <bottom>
        <color indexed="63"/>
      </bottom>
    </border>
    <border>
      <left style="hair"/>
      <right style="medium"/>
      <top style="medium"/>
      <bottom>
        <color indexed="63"/>
      </bottom>
    </border>
    <border>
      <left style="hair"/>
      <right style="hair"/>
      <top style="medium"/>
      <bottom style="medium"/>
    </border>
    <border>
      <left style="hair"/>
      <right style="medium"/>
      <top style="medium"/>
      <bottom style="medium"/>
    </border>
    <border>
      <left style="hair"/>
      <right style="medium"/>
      <top>
        <color indexed="63"/>
      </top>
      <bottom>
        <color indexed="63"/>
      </bottom>
    </border>
    <border>
      <left style="hair"/>
      <right style="hair"/>
      <top>
        <color indexed="63"/>
      </top>
      <bottom style="medium"/>
    </border>
    <border>
      <left style="hair"/>
      <right style="medium"/>
      <top>
        <color indexed="63"/>
      </top>
      <bottom style="medium"/>
    </border>
    <border>
      <left>
        <color indexed="63"/>
      </left>
      <right>
        <color indexed="63"/>
      </right>
      <top>
        <color indexed="63"/>
      </top>
      <bottom style="medium"/>
    </border>
    <border>
      <left style="hair">
        <color indexed="22"/>
      </left>
      <right style="hair"/>
      <top>
        <color indexed="63"/>
      </top>
      <bottom style="hair">
        <color indexed="22"/>
      </bottom>
    </border>
    <border>
      <left style="hair">
        <color indexed="22"/>
      </left>
      <right style="hair">
        <color indexed="8"/>
      </right>
      <top>
        <color indexed="63"/>
      </top>
      <bottom>
        <color indexed="63"/>
      </bottom>
    </border>
    <border>
      <left style="hair">
        <color indexed="22"/>
      </left>
      <right style="hair">
        <color indexed="8"/>
      </right>
      <top>
        <color indexed="63"/>
      </top>
      <bottom style="medium">
        <color indexed="8"/>
      </bottom>
    </border>
    <border>
      <left style="hair">
        <color indexed="22"/>
      </left>
      <right>
        <color indexed="63"/>
      </right>
      <top>
        <color indexed="63"/>
      </top>
      <bottom>
        <color indexed="63"/>
      </bottom>
    </border>
    <border>
      <left style="medium"/>
      <right style="hair"/>
      <top style="medium"/>
      <bottom style="medium"/>
    </border>
    <border>
      <left style="medium"/>
      <right style="hair"/>
      <top style="medium"/>
      <bottom>
        <color indexed="63"/>
      </bottom>
    </border>
    <border>
      <left style="medium"/>
      <right style="hair"/>
      <top>
        <color indexed="63"/>
      </top>
      <bottom style="medium"/>
    </border>
    <border>
      <left style="medium">
        <color indexed="8"/>
      </left>
      <right>
        <color indexed="63"/>
      </right>
      <top>
        <color indexed="63"/>
      </top>
      <bottom>
        <color indexed="63"/>
      </bottom>
    </border>
    <border>
      <left>
        <color indexed="63"/>
      </left>
      <right style="hair"/>
      <top>
        <color indexed="63"/>
      </top>
      <bottom>
        <color indexed="63"/>
      </bottom>
    </border>
    <border>
      <left style="medium"/>
      <right style="hair"/>
      <top>
        <color indexed="63"/>
      </top>
      <bottom>
        <color indexed="63"/>
      </bottom>
    </border>
    <border>
      <left>
        <color indexed="63"/>
      </left>
      <right>
        <color indexed="63"/>
      </right>
      <top style="medium"/>
      <bottom style="medium">
        <color indexed="8"/>
      </bottom>
    </border>
    <border>
      <left style="medium">
        <color indexed="8"/>
      </left>
      <right>
        <color indexed="63"/>
      </right>
      <top style="medium"/>
      <bottom style="medium">
        <color indexed="8"/>
      </bottom>
    </border>
    <border>
      <left style="hair">
        <color indexed="22"/>
      </left>
      <right>
        <color indexed="63"/>
      </right>
      <top style="medium"/>
      <bottom>
        <color indexed="63"/>
      </bottom>
    </border>
    <border>
      <left style="medium">
        <color indexed="8"/>
      </left>
      <right style="hair"/>
      <top style="medium">
        <color indexed="8"/>
      </top>
      <bottom>
        <color indexed="63"/>
      </bottom>
    </border>
    <border>
      <left style="hair">
        <color indexed="22"/>
      </left>
      <right style="hair"/>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style="hair"/>
      <top>
        <color indexed="63"/>
      </top>
      <bottom style="medium">
        <color indexed="8"/>
      </bottom>
    </border>
    <border>
      <left style="hair">
        <color indexed="22"/>
      </left>
      <right style="hair"/>
      <top>
        <color indexed="63"/>
      </top>
      <bottom style="medium">
        <color indexed="8"/>
      </bottom>
    </border>
    <border>
      <left>
        <color indexed="63"/>
      </left>
      <right style="medium">
        <color indexed="8"/>
      </right>
      <top>
        <color indexed="63"/>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style="hair">
        <color indexed="22"/>
      </left>
      <right>
        <color indexed="63"/>
      </right>
      <top>
        <color indexed="63"/>
      </top>
      <bottom style="medium"/>
    </border>
    <border>
      <left style="medium"/>
      <right style="hair">
        <color indexed="22"/>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color indexed="22"/>
      </left>
      <right style="hair">
        <color indexed="8"/>
      </right>
      <top style="medium"/>
      <bottom>
        <color indexed="63"/>
      </bottom>
    </border>
    <border>
      <left style="hair">
        <color indexed="22"/>
      </left>
      <right style="hair">
        <color indexed="8"/>
      </right>
      <top>
        <color indexed="63"/>
      </top>
      <bottom style="medium"/>
    </border>
    <border>
      <left>
        <color indexed="63"/>
      </left>
      <right style="hair"/>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hair">
        <color indexed="22"/>
      </left>
      <right style="medium"/>
      <top>
        <color indexed="63"/>
      </top>
      <bottom>
        <color indexed="63"/>
      </bottom>
    </border>
    <border>
      <left style="thin"/>
      <right style="thin"/>
      <top style="medium"/>
      <bottom style="medium">
        <color indexed="8"/>
      </botto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color indexed="8"/>
      </left>
      <right style="thin">
        <color indexed="8"/>
      </right>
      <top style="medium"/>
      <bottom style="medium">
        <color indexed="8"/>
      </bottom>
    </border>
    <border>
      <left style="hair"/>
      <right>
        <color indexed="63"/>
      </right>
      <top style="medium"/>
      <bottom>
        <color indexed="63"/>
      </bottom>
    </border>
    <border>
      <left>
        <color indexed="63"/>
      </left>
      <right style="hair"/>
      <top style="medium"/>
      <bottom>
        <color indexed="63"/>
      </bottom>
    </border>
    <border>
      <left style="hair"/>
      <right>
        <color indexed="63"/>
      </right>
      <top style="medium"/>
      <bottom style="hair"/>
    </border>
    <border>
      <left>
        <color indexed="63"/>
      </left>
      <right style="hair"/>
      <top style="medium"/>
      <bottom style="hair"/>
    </border>
    <border>
      <left style="hair"/>
      <right>
        <color indexed="63"/>
      </right>
      <top style="medium"/>
      <bottom style="medium"/>
    </border>
    <border>
      <left style="medium"/>
      <right>
        <color indexed="63"/>
      </right>
      <top style="medium"/>
      <bottom style="medium"/>
    </border>
    <border>
      <left style="hair">
        <color indexed="22"/>
      </left>
      <right>
        <color indexed="63"/>
      </right>
      <top style="medium"/>
      <bottom style="medium"/>
    </border>
    <border>
      <left style="hair"/>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360">
    <xf numFmtId="0" fontId="0" fillId="0" borderId="0" xfId="0" applyAlignment="1">
      <alignment/>
    </xf>
    <xf numFmtId="14" fontId="0" fillId="0" borderId="0" xfId="0" applyNumberFormat="1" applyAlignment="1">
      <alignment/>
    </xf>
    <xf numFmtId="0" fontId="5" fillId="2" borderId="1" xfId="0" applyFont="1" applyFill="1" applyBorder="1" applyAlignment="1">
      <alignment horizontal="centerContinuous"/>
    </xf>
    <xf numFmtId="0" fontId="5" fillId="2" borderId="2" xfId="0" applyFont="1" applyFill="1" applyBorder="1" applyAlignment="1">
      <alignment horizontal="centerContinuous"/>
    </xf>
    <xf numFmtId="1" fontId="0" fillId="0" borderId="3" xfId="0" applyNumberFormat="1" applyBorder="1" applyAlignment="1">
      <alignment/>
    </xf>
    <xf numFmtId="0" fontId="0" fillId="0" borderId="0" xfId="0" applyBorder="1" applyAlignment="1">
      <alignment/>
    </xf>
    <xf numFmtId="0" fontId="6" fillId="2" borderId="4" xfId="0" applyFont="1" applyFill="1" applyBorder="1" applyAlignment="1">
      <alignment horizontal="centerContinuous" vertical="center"/>
    </xf>
    <xf numFmtId="14" fontId="0" fillId="0" borderId="5" xfId="0" applyNumberFormat="1" applyBorder="1" applyAlignment="1">
      <alignment/>
    </xf>
    <xf numFmtId="1" fontId="0" fillId="0" borderId="5" xfId="0" applyNumberFormat="1" applyBorder="1" applyAlignment="1">
      <alignment/>
    </xf>
    <xf numFmtId="0" fontId="0" fillId="0" borderId="5" xfId="0" applyBorder="1" applyAlignment="1">
      <alignment/>
    </xf>
    <xf numFmtId="0" fontId="1" fillId="0" borderId="6" xfId="0" applyFont="1" applyBorder="1" applyAlignment="1">
      <alignment/>
    </xf>
    <xf numFmtId="14" fontId="0" fillId="0" borderId="7" xfId="0" applyNumberFormat="1" applyBorder="1" applyAlignment="1">
      <alignment/>
    </xf>
    <xf numFmtId="1" fontId="0" fillId="0" borderId="7" xfId="0" applyNumberFormat="1" applyBorder="1" applyAlignment="1">
      <alignment/>
    </xf>
    <xf numFmtId="0" fontId="0" fillId="0" borderId="7" xfId="0" applyBorder="1" applyAlignment="1">
      <alignment/>
    </xf>
    <xf numFmtId="0" fontId="1" fillId="0" borderId="8" xfId="0" applyFont="1" applyBorder="1" applyAlignment="1">
      <alignment/>
    </xf>
    <xf numFmtId="14" fontId="0" fillId="0" borderId="9" xfId="0" applyNumberFormat="1" applyBorder="1" applyAlignment="1">
      <alignment/>
    </xf>
    <xf numFmtId="1" fontId="0" fillId="0" borderId="9" xfId="0" applyNumberFormat="1" applyBorder="1" applyAlignment="1">
      <alignment/>
    </xf>
    <xf numFmtId="0" fontId="0" fillId="0" borderId="9" xfId="0" applyBorder="1" applyAlignment="1">
      <alignment/>
    </xf>
    <xf numFmtId="0" fontId="1" fillId="0" borderId="10" xfId="0" applyFont="1" applyBorder="1" applyAlignment="1">
      <alignment/>
    </xf>
    <xf numFmtId="14" fontId="0" fillId="0" borderId="11" xfId="0" applyNumberFormat="1" applyBorder="1" applyAlignment="1">
      <alignment/>
    </xf>
    <xf numFmtId="1" fontId="0" fillId="0" borderId="11" xfId="0" applyNumberFormat="1" applyBorder="1" applyAlignment="1">
      <alignment/>
    </xf>
    <xf numFmtId="0" fontId="0" fillId="0" borderId="11" xfId="0" applyBorder="1" applyAlignment="1">
      <alignment/>
    </xf>
    <xf numFmtId="179" fontId="5" fillId="2" borderId="1" xfId="0" applyNumberFormat="1" applyFont="1" applyFill="1" applyBorder="1" applyAlignment="1">
      <alignment horizontal="centerContinuous"/>
    </xf>
    <xf numFmtId="179" fontId="0" fillId="0" borderId="5" xfId="0" applyNumberFormat="1" applyBorder="1" applyAlignment="1">
      <alignment/>
    </xf>
    <xf numFmtId="179" fontId="0" fillId="0" borderId="9" xfId="0" applyNumberFormat="1" applyBorder="1" applyAlignment="1">
      <alignment/>
    </xf>
    <xf numFmtId="179" fontId="0" fillId="0" borderId="7" xfId="0" applyNumberFormat="1" applyBorder="1" applyAlignment="1">
      <alignment/>
    </xf>
    <xf numFmtId="179" fontId="0" fillId="0" borderId="11" xfId="0" applyNumberFormat="1" applyBorder="1" applyAlignment="1">
      <alignment/>
    </xf>
    <xf numFmtId="0" fontId="1" fillId="0" borderId="0" xfId="0" applyFont="1" applyBorder="1" applyAlignment="1">
      <alignment/>
    </xf>
    <xf numFmtId="179" fontId="0" fillId="0" borderId="0" xfId="0" applyNumberFormat="1" applyBorder="1" applyAlignment="1">
      <alignment/>
    </xf>
    <xf numFmtId="0" fontId="7" fillId="2" borderId="4" xfId="0" applyFont="1" applyFill="1" applyBorder="1" applyAlignment="1">
      <alignment horizontal="left" vertical="center"/>
    </xf>
    <xf numFmtId="0" fontId="7" fillId="2" borderId="4" xfId="0" applyFont="1" applyFill="1" applyBorder="1" applyAlignment="1">
      <alignment vertical="center"/>
    </xf>
    <xf numFmtId="0" fontId="5" fillId="2" borderId="1" xfId="0" applyFont="1" applyFill="1" applyBorder="1" applyAlignment="1">
      <alignment/>
    </xf>
    <xf numFmtId="179" fontId="5" fillId="2" borderId="1" xfId="0" applyNumberFormat="1" applyFont="1" applyFill="1" applyBorder="1" applyAlignment="1">
      <alignment/>
    </xf>
    <xf numFmtId="0" fontId="5" fillId="2" borderId="1" xfId="0" applyFont="1" applyFill="1" applyBorder="1" applyAlignment="1">
      <alignment horizontal="left"/>
    </xf>
    <xf numFmtId="179" fontId="5" fillId="2" borderId="1" xfId="0" applyNumberFormat="1" applyFont="1" applyFill="1" applyBorder="1" applyAlignment="1">
      <alignment horizontal="left"/>
    </xf>
    <xf numFmtId="0" fontId="5" fillId="2" borderId="2" xfId="0" applyFont="1" applyFill="1" applyBorder="1" applyAlignment="1">
      <alignment/>
    </xf>
    <xf numFmtId="0" fontId="8" fillId="2" borderId="4" xfId="0" applyFont="1" applyFill="1" applyBorder="1" applyAlignment="1">
      <alignment horizontal="centerContinuous" vertical="center"/>
    </xf>
    <xf numFmtId="0" fontId="7" fillId="2" borderId="12" xfId="0" applyFont="1" applyFill="1" applyBorder="1" applyAlignment="1">
      <alignment horizontal="left"/>
    </xf>
    <xf numFmtId="0" fontId="7" fillId="2" borderId="2" xfId="0" applyFont="1" applyFill="1" applyBorder="1" applyAlignment="1">
      <alignment horizontal="left"/>
    </xf>
    <xf numFmtId="0" fontId="4" fillId="0" borderId="13" xfId="0" applyFont="1" applyBorder="1" applyAlignment="1">
      <alignment horizontal="center"/>
    </xf>
    <xf numFmtId="0" fontId="4" fillId="0" borderId="5" xfId="0" applyFont="1" applyBorder="1" applyAlignment="1">
      <alignment horizontal="center" wrapText="1"/>
    </xf>
    <xf numFmtId="179" fontId="4" fillId="0" borderId="5" xfId="0" applyNumberFormat="1" applyFont="1" applyBorder="1" applyAlignment="1">
      <alignment horizontal="center" wrapText="1"/>
    </xf>
    <xf numFmtId="0" fontId="4" fillId="0" borderId="5" xfId="0" applyFont="1" applyBorder="1" applyAlignment="1">
      <alignment horizontal="center" wrapText="1"/>
    </xf>
    <xf numFmtId="0" fontId="1" fillId="0" borderId="14" xfId="0" applyFont="1" applyBorder="1" applyAlignment="1">
      <alignment/>
    </xf>
    <xf numFmtId="0" fontId="4" fillId="0" borderId="6" xfId="0" applyFont="1" applyBorder="1" applyAlignment="1">
      <alignment horizontal="center"/>
    </xf>
    <xf numFmtId="0" fontId="4" fillId="0" borderId="7" xfId="0" applyFont="1" applyBorder="1" applyAlignment="1">
      <alignment horizontal="center" wrapText="1"/>
    </xf>
    <xf numFmtId="179" fontId="4" fillId="0" borderId="7" xfId="0" applyNumberFormat="1" applyFont="1" applyBorder="1" applyAlignment="1">
      <alignment horizontal="center" wrapText="1"/>
    </xf>
    <xf numFmtId="0" fontId="4" fillId="0" borderId="7" xfId="0" applyFont="1" applyBorder="1" applyAlignment="1">
      <alignment horizontal="center" wrapText="1"/>
    </xf>
    <xf numFmtId="0" fontId="1" fillId="0" borderId="3" xfId="0" applyFont="1" applyBorder="1" applyAlignment="1">
      <alignment/>
    </xf>
    <xf numFmtId="179" fontId="4" fillId="0" borderId="7" xfId="0" applyNumberFormat="1" applyFont="1" applyBorder="1" applyAlignment="1">
      <alignment horizontal="left" wrapText="1"/>
    </xf>
    <xf numFmtId="0" fontId="4" fillId="0" borderId="7" xfId="0" applyFont="1" applyBorder="1" applyAlignment="1">
      <alignment horizontal="left" wrapText="1"/>
    </xf>
    <xf numFmtId="179" fontId="4" fillId="0" borderId="15" xfId="0" applyNumberFormat="1" applyFont="1" applyBorder="1" applyAlignment="1">
      <alignment horizontal="centerContinuous" wrapText="1"/>
    </xf>
    <xf numFmtId="0" fontId="4" fillId="0" borderId="15" xfId="0" applyFont="1" applyBorder="1" applyAlignment="1">
      <alignment horizontal="centerContinuous" wrapText="1"/>
    </xf>
    <xf numFmtId="179" fontId="0" fillId="0" borderId="16" xfId="0" applyNumberFormat="1" applyBorder="1" applyAlignment="1">
      <alignment/>
    </xf>
    <xf numFmtId="0" fontId="0" fillId="0" borderId="16" xfId="0" applyBorder="1" applyAlignment="1">
      <alignment/>
    </xf>
    <xf numFmtId="0" fontId="0" fillId="0" borderId="17" xfId="0" applyBorder="1" applyAlignment="1">
      <alignment/>
    </xf>
    <xf numFmtId="0" fontId="1" fillId="0" borderId="13" xfId="0" applyFont="1" applyBorder="1" applyAlignment="1">
      <alignment vertical="top"/>
    </xf>
    <xf numFmtId="14" fontId="0" fillId="0" borderId="5" xfId="0" applyNumberFormat="1" applyBorder="1" applyAlignment="1">
      <alignment vertical="top"/>
    </xf>
    <xf numFmtId="179" fontId="0" fillId="0" borderId="5" xfId="0" applyNumberFormat="1" applyBorder="1" applyAlignment="1">
      <alignment vertical="top"/>
    </xf>
    <xf numFmtId="0" fontId="0" fillId="0" borderId="5" xfId="0" applyBorder="1" applyAlignment="1">
      <alignment vertical="top"/>
    </xf>
    <xf numFmtId="1" fontId="0" fillId="0" borderId="5" xfId="0" applyNumberFormat="1" applyBorder="1" applyAlignment="1">
      <alignment vertical="top"/>
    </xf>
    <xf numFmtId="1" fontId="0" fillId="0" borderId="14" xfId="0" applyNumberFormat="1" applyBorder="1" applyAlignment="1">
      <alignment vertical="top"/>
    </xf>
    <xf numFmtId="0" fontId="1" fillId="0" borderId="8" xfId="0" applyFont="1" applyBorder="1" applyAlignment="1">
      <alignment vertical="top"/>
    </xf>
    <xf numFmtId="14" fontId="0" fillId="0" borderId="9" xfId="0" applyNumberFormat="1" applyBorder="1" applyAlignment="1">
      <alignment vertical="top"/>
    </xf>
    <xf numFmtId="179" fontId="0" fillId="0" borderId="9" xfId="0" applyNumberFormat="1" applyBorder="1" applyAlignment="1">
      <alignment vertical="top"/>
    </xf>
    <xf numFmtId="0" fontId="0" fillId="0" borderId="9" xfId="0" applyBorder="1" applyAlignment="1">
      <alignment vertical="top"/>
    </xf>
    <xf numFmtId="1" fontId="0" fillId="0" borderId="9" xfId="0" applyNumberFormat="1" applyBorder="1" applyAlignment="1">
      <alignment vertical="top"/>
    </xf>
    <xf numFmtId="1" fontId="0" fillId="0" borderId="18" xfId="0" applyNumberFormat="1" applyBorder="1" applyAlignment="1">
      <alignment vertical="top"/>
    </xf>
    <xf numFmtId="0" fontId="1" fillId="0" borderId="6" xfId="0" applyFont="1" applyBorder="1" applyAlignment="1">
      <alignment vertical="top"/>
    </xf>
    <xf numFmtId="14" fontId="0" fillId="0" borderId="7" xfId="0" applyNumberFormat="1" applyBorder="1" applyAlignment="1">
      <alignment vertical="top"/>
    </xf>
    <xf numFmtId="179" fontId="0" fillId="0" borderId="7" xfId="0" applyNumberFormat="1" applyBorder="1" applyAlignment="1">
      <alignment vertical="top"/>
    </xf>
    <xf numFmtId="0" fontId="0" fillId="0" borderId="7" xfId="0" applyBorder="1" applyAlignment="1">
      <alignment vertical="top"/>
    </xf>
    <xf numFmtId="1" fontId="0" fillId="0" borderId="7" xfId="0" applyNumberFormat="1" applyBorder="1" applyAlignment="1">
      <alignment vertical="top"/>
    </xf>
    <xf numFmtId="1" fontId="0" fillId="0" borderId="3" xfId="0" applyNumberFormat="1" applyBorder="1" applyAlignment="1">
      <alignment vertical="top"/>
    </xf>
    <xf numFmtId="0" fontId="1" fillId="0" borderId="10" xfId="0" applyFont="1" applyBorder="1" applyAlignment="1">
      <alignment vertical="top"/>
    </xf>
    <xf numFmtId="14" fontId="0" fillId="0" borderId="11" xfId="0" applyNumberFormat="1" applyBorder="1" applyAlignment="1">
      <alignment vertical="top"/>
    </xf>
    <xf numFmtId="179" fontId="0" fillId="0" borderId="11" xfId="0" applyNumberFormat="1" applyBorder="1" applyAlignment="1">
      <alignment vertical="top"/>
    </xf>
    <xf numFmtId="0" fontId="0" fillId="0" borderId="11" xfId="0" applyBorder="1" applyAlignment="1">
      <alignment vertical="top"/>
    </xf>
    <xf numFmtId="1" fontId="0" fillId="0" borderId="11" xfId="0" applyNumberFormat="1" applyBorder="1" applyAlignment="1">
      <alignment vertical="top"/>
    </xf>
    <xf numFmtId="1" fontId="0" fillId="0" borderId="2" xfId="0" applyNumberFormat="1" applyBorder="1" applyAlignment="1">
      <alignment vertical="top"/>
    </xf>
    <xf numFmtId="1" fontId="0" fillId="0" borderId="2" xfId="0" applyNumberFormat="1" applyBorder="1" applyAlignment="1">
      <alignment vertical="top" wrapText="1"/>
    </xf>
    <xf numFmtId="179" fontId="0" fillId="0" borderId="7" xfId="0" applyNumberFormat="1" applyBorder="1" applyAlignment="1">
      <alignment horizontal="right" vertical="top"/>
    </xf>
    <xf numFmtId="14" fontId="0" fillId="0" borderId="19" xfId="0" applyNumberFormat="1" applyBorder="1" applyAlignment="1">
      <alignment vertical="top"/>
    </xf>
    <xf numFmtId="179" fontId="0" fillId="0" borderId="19" xfId="0" applyNumberFormat="1" applyBorder="1" applyAlignment="1">
      <alignment vertical="top"/>
    </xf>
    <xf numFmtId="0" fontId="0" fillId="0" borderId="19" xfId="0" applyBorder="1" applyAlignment="1">
      <alignment vertical="top"/>
    </xf>
    <xf numFmtId="1" fontId="0" fillId="0" borderId="19" xfId="0" applyNumberFormat="1" applyBorder="1" applyAlignment="1">
      <alignment vertical="top"/>
    </xf>
    <xf numFmtId="1" fontId="0" fillId="0" borderId="20" xfId="0" applyNumberFormat="1" applyBorder="1" applyAlignment="1">
      <alignment vertical="top"/>
    </xf>
    <xf numFmtId="14" fontId="0" fillId="0" borderId="21" xfId="0" applyNumberFormat="1" applyBorder="1" applyAlignment="1">
      <alignment vertical="top"/>
    </xf>
    <xf numFmtId="179" fontId="0" fillId="0" borderId="21" xfId="0" applyNumberFormat="1" applyBorder="1" applyAlignment="1">
      <alignment vertical="top"/>
    </xf>
    <xf numFmtId="0" fontId="0" fillId="0" borderId="21" xfId="0" applyBorder="1" applyAlignment="1">
      <alignment vertical="top"/>
    </xf>
    <xf numFmtId="1" fontId="0" fillId="0" borderId="21" xfId="0" applyNumberFormat="1" applyBorder="1" applyAlignment="1">
      <alignment vertical="top"/>
    </xf>
    <xf numFmtId="1" fontId="0" fillId="0" borderId="22" xfId="0" applyNumberFormat="1" applyBorder="1" applyAlignment="1">
      <alignment vertical="top"/>
    </xf>
    <xf numFmtId="14" fontId="0" fillId="0" borderId="16" xfId="0" applyNumberFormat="1" applyBorder="1" applyAlignment="1">
      <alignment vertical="top"/>
    </xf>
    <xf numFmtId="179" fontId="0" fillId="0" borderId="16" xfId="0" applyNumberFormat="1" applyBorder="1" applyAlignment="1">
      <alignment vertical="top"/>
    </xf>
    <xf numFmtId="0" fontId="0" fillId="0" borderId="16" xfId="0" applyBorder="1" applyAlignment="1">
      <alignment vertical="top"/>
    </xf>
    <xf numFmtId="1" fontId="0" fillId="0" borderId="16" xfId="0" applyNumberFormat="1" applyBorder="1" applyAlignment="1">
      <alignment vertical="top"/>
    </xf>
    <xf numFmtId="1" fontId="0" fillId="0" borderId="23" xfId="0" applyNumberFormat="1" applyBorder="1" applyAlignment="1">
      <alignment vertical="top"/>
    </xf>
    <xf numFmtId="14" fontId="0" fillId="0" borderId="24" xfId="0" applyNumberFormat="1" applyBorder="1" applyAlignment="1">
      <alignment vertical="top"/>
    </xf>
    <xf numFmtId="179" fontId="0" fillId="0" borderId="24" xfId="0" applyNumberFormat="1" applyBorder="1" applyAlignment="1">
      <alignment vertical="top"/>
    </xf>
    <xf numFmtId="0" fontId="0" fillId="0" borderId="24" xfId="0" applyBorder="1" applyAlignment="1">
      <alignment vertical="top"/>
    </xf>
    <xf numFmtId="1" fontId="0" fillId="0" borderId="24" xfId="0" applyNumberFormat="1" applyBorder="1" applyAlignment="1">
      <alignment vertical="top"/>
    </xf>
    <xf numFmtId="1" fontId="0" fillId="0" borderId="25" xfId="0" applyNumberFormat="1" applyBorder="1" applyAlignment="1">
      <alignment vertical="top"/>
    </xf>
    <xf numFmtId="0" fontId="0" fillId="0" borderId="26" xfId="0" applyBorder="1" applyAlignment="1">
      <alignment/>
    </xf>
    <xf numFmtId="14" fontId="0" fillId="0" borderId="27" xfId="0" applyNumberFormat="1" applyBorder="1" applyAlignment="1">
      <alignment vertical="top"/>
    </xf>
    <xf numFmtId="1" fontId="0" fillId="0" borderId="27" xfId="0" applyNumberFormat="1" applyBorder="1" applyAlignment="1">
      <alignment vertical="top"/>
    </xf>
    <xf numFmtId="0" fontId="0" fillId="0" borderId="27" xfId="0" applyBorder="1" applyAlignment="1">
      <alignment vertical="top"/>
    </xf>
    <xf numFmtId="9" fontId="0" fillId="0" borderId="5" xfId="0" applyNumberFormat="1" applyBorder="1" applyAlignment="1">
      <alignment vertical="top"/>
    </xf>
    <xf numFmtId="9" fontId="0" fillId="0" borderId="9" xfId="0" applyNumberFormat="1" applyBorder="1" applyAlignment="1">
      <alignment vertical="top"/>
    </xf>
    <xf numFmtId="9" fontId="0" fillId="0" borderId="28" xfId="0" applyNumberFormat="1" applyBorder="1" applyAlignment="1">
      <alignment/>
    </xf>
    <xf numFmtId="9" fontId="0" fillId="0" borderId="29" xfId="0" applyNumberFormat="1" applyBorder="1" applyAlignment="1">
      <alignment/>
    </xf>
    <xf numFmtId="9" fontId="0" fillId="0" borderId="7" xfId="0" applyNumberFormat="1" applyBorder="1" applyAlignment="1">
      <alignment vertical="top"/>
    </xf>
    <xf numFmtId="9" fontId="0" fillId="0" borderId="24" xfId="0" applyNumberFormat="1" applyBorder="1" applyAlignment="1">
      <alignment vertical="top"/>
    </xf>
    <xf numFmtId="9" fontId="0" fillId="0" borderId="5" xfId="0" applyNumberFormat="1" applyBorder="1" applyAlignment="1">
      <alignment horizontal="right" vertical="top"/>
    </xf>
    <xf numFmtId="9" fontId="0" fillId="0" borderId="7" xfId="0" applyNumberFormat="1" applyBorder="1" applyAlignment="1">
      <alignment horizontal="right" vertical="top"/>
    </xf>
    <xf numFmtId="0" fontId="1" fillId="0" borderId="6" xfId="0" applyFont="1" applyBorder="1" applyAlignment="1">
      <alignment vertical="center"/>
    </xf>
    <xf numFmtId="0" fontId="0" fillId="0" borderId="7" xfId="0" applyBorder="1" applyAlignment="1">
      <alignment vertical="center"/>
    </xf>
    <xf numFmtId="179" fontId="0" fillId="0" borderId="7" xfId="0" applyNumberFormat="1" applyBorder="1" applyAlignment="1">
      <alignment vertical="center"/>
    </xf>
    <xf numFmtId="0" fontId="0" fillId="0" borderId="3" xfId="0" applyBorder="1" applyAlignment="1">
      <alignment vertical="center" wrapText="1"/>
    </xf>
    <xf numFmtId="14" fontId="0" fillId="0" borderId="7" xfId="0" applyNumberFormat="1" applyBorder="1" applyAlignment="1">
      <alignment vertical="center"/>
    </xf>
    <xf numFmtId="179" fontId="0" fillId="0" borderId="5" xfId="0" applyNumberFormat="1" applyBorder="1" applyAlignment="1">
      <alignment horizontal="center" vertical="top" wrapText="1"/>
    </xf>
    <xf numFmtId="0" fontId="0" fillId="0" borderId="14" xfId="0" applyBorder="1" applyAlignment="1">
      <alignment/>
    </xf>
    <xf numFmtId="0" fontId="0" fillId="0" borderId="3" xfId="0" applyBorder="1" applyAlignment="1">
      <alignment/>
    </xf>
    <xf numFmtId="9" fontId="0" fillId="0" borderId="30" xfId="0" applyNumberFormat="1" applyBorder="1" applyAlignment="1">
      <alignment vertical="top"/>
    </xf>
    <xf numFmtId="14" fontId="5" fillId="2" borderId="1" xfId="0" applyNumberFormat="1" applyFont="1" applyFill="1" applyBorder="1" applyAlignment="1">
      <alignment horizontal="centerContinuous"/>
    </xf>
    <xf numFmtId="14" fontId="5" fillId="2" borderId="1" xfId="0" applyNumberFormat="1" applyFont="1" applyFill="1" applyBorder="1" applyAlignment="1">
      <alignment horizontal="left"/>
    </xf>
    <xf numFmtId="14" fontId="0" fillId="0" borderId="0" xfId="0" applyNumberFormat="1" applyBorder="1" applyAlignment="1">
      <alignment/>
    </xf>
    <xf numFmtId="1" fontId="0" fillId="0" borderId="14" xfId="0" applyNumberFormat="1" applyBorder="1" applyAlignment="1">
      <alignment vertical="top" wrapText="1"/>
    </xf>
    <xf numFmtId="0" fontId="1" fillId="0" borderId="31" xfId="0" applyFont="1" applyBorder="1" applyAlignment="1">
      <alignment/>
    </xf>
    <xf numFmtId="0" fontId="0" fillId="0" borderId="2" xfId="0" applyBorder="1" applyAlignment="1">
      <alignment/>
    </xf>
    <xf numFmtId="9" fontId="0" fillId="0" borderId="0" xfId="21" applyAlignment="1">
      <alignment/>
    </xf>
    <xf numFmtId="9" fontId="0" fillId="0" borderId="9" xfId="21" applyBorder="1" applyAlignment="1">
      <alignment vertical="top"/>
    </xf>
    <xf numFmtId="179" fontId="0" fillId="0" borderId="5" xfId="0" applyNumberFormat="1" applyBorder="1" applyAlignment="1">
      <alignment horizontal="right" vertical="top" wrapText="1"/>
    </xf>
    <xf numFmtId="14" fontId="0" fillId="0" borderId="5" xfId="0" applyNumberFormat="1" applyBorder="1" applyAlignment="1">
      <alignment vertical="top" wrapText="1"/>
    </xf>
    <xf numFmtId="9" fontId="0" fillId="0" borderId="5" xfId="21" applyFont="1" applyBorder="1" applyAlignment="1">
      <alignment horizontal="right" vertical="top" wrapText="1"/>
    </xf>
    <xf numFmtId="14" fontId="0" fillId="0" borderId="11" xfId="0" applyNumberFormat="1" applyBorder="1" applyAlignment="1">
      <alignment vertical="top" wrapText="1"/>
    </xf>
    <xf numFmtId="9" fontId="0" fillId="0" borderId="11" xfId="0" applyNumberFormat="1" applyBorder="1" applyAlignment="1">
      <alignment horizontal="right" vertical="top" wrapText="1"/>
    </xf>
    <xf numFmtId="1" fontId="0" fillId="0" borderId="11" xfId="0" applyNumberFormat="1" applyBorder="1" applyAlignment="1">
      <alignment vertical="top" wrapText="1"/>
    </xf>
    <xf numFmtId="1" fontId="5" fillId="2" borderId="1" xfId="0" applyNumberFormat="1" applyFont="1" applyFill="1" applyBorder="1" applyAlignment="1">
      <alignment horizontal="centerContinuous"/>
    </xf>
    <xf numFmtId="1" fontId="5" fillId="2" borderId="1" xfId="0" applyNumberFormat="1" applyFont="1" applyFill="1" applyBorder="1" applyAlignment="1">
      <alignment horizontal="left"/>
    </xf>
    <xf numFmtId="1" fontId="4" fillId="0" borderId="15" xfId="0" applyNumberFormat="1" applyFont="1" applyBorder="1" applyAlignment="1">
      <alignment horizontal="centerContinuous" wrapText="1"/>
    </xf>
    <xf numFmtId="1" fontId="4" fillId="0" borderId="7" xfId="0" applyNumberFormat="1" applyFont="1" applyBorder="1" applyAlignment="1">
      <alignment horizontal="left" wrapText="1"/>
    </xf>
    <xf numFmtId="9" fontId="0" fillId="0" borderId="5" xfId="21" applyBorder="1" applyAlignment="1">
      <alignment vertical="top"/>
    </xf>
    <xf numFmtId="1" fontId="0" fillId="0" borderId="18" xfId="0" applyNumberFormat="1" applyBorder="1" applyAlignment="1">
      <alignment vertical="top" wrapText="1"/>
    </xf>
    <xf numFmtId="9" fontId="0" fillId="0" borderId="7" xfId="21" applyBorder="1" applyAlignment="1">
      <alignment vertical="top"/>
    </xf>
    <xf numFmtId="9" fontId="0" fillId="0" borderId="11" xfId="21" applyBorder="1" applyAlignment="1">
      <alignment vertical="top"/>
    </xf>
    <xf numFmtId="9" fontId="0" fillId="0" borderId="27" xfId="21" applyBorder="1" applyAlignment="1">
      <alignment vertical="top"/>
    </xf>
    <xf numFmtId="9" fontId="0" fillId="0" borderId="7" xfId="21" applyBorder="1" applyAlignment="1">
      <alignment/>
    </xf>
    <xf numFmtId="0" fontId="1" fillId="0" borderId="32" xfId="0" applyFont="1" applyBorder="1" applyAlignment="1">
      <alignment/>
    </xf>
    <xf numFmtId="0" fontId="1" fillId="0" borderId="33" xfId="0" applyFont="1" applyBorder="1" applyAlignment="1">
      <alignment/>
    </xf>
    <xf numFmtId="9" fontId="0" fillId="0" borderId="11" xfId="0" applyNumberFormat="1" applyBorder="1" applyAlignment="1">
      <alignment horizontal="right" vertical="center" wrapText="1"/>
    </xf>
    <xf numFmtId="9" fontId="0" fillId="0" borderId="9" xfId="0" applyNumberFormat="1" applyBorder="1" applyAlignment="1">
      <alignment/>
    </xf>
    <xf numFmtId="0" fontId="0" fillId="0" borderId="18" xfId="0" applyBorder="1" applyAlignment="1">
      <alignment/>
    </xf>
    <xf numFmtId="9" fontId="0" fillId="0" borderId="0" xfId="0" applyNumberFormat="1" applyAlignment="1">
      <alignment/>
    </xf>
    <xf numFmtId="9" fontId="0" fillId="0" borderId="7" xfId="0" applyNumberFormat="1" applyBorder="1" applyAlignment="1">
      <alignment/>
    </xf>
    <xf numFmtId="0" fontId="1" fillId="0" borderId="34" xfId="0" applyFont="1" applyBorder="1" applyAlignment="1">
      <alignment/>
    </xf>
    <xf numFmtId="9" fontId="0" fillId="0" borderId="0" xfId="0" applyNumberFormat="1" applyBorder="1" applyAlignment="1">
      <alignment/>
    </xf>
    <xf numFmtId="179" fontId="0" fillId="0" borderId="35" xfId="0" applyNumberFormat="1" applyBorder="1" applyAlignment="1">
      <alignment/>
    </xf>
    <xf numFmtId="9" fontId="0" fillId="0" borderId="9" xfId="21" applyBorder="1" applyAlignment="1">
      <alignment/>
    </xf>
    <xf numFmtId="0" fontId="1" fillId="0" borderId="36" xfId="0" applyFont="1" applyBorder="1" applyAlignment="1">
      <alignment/>
    </xf>
    <xf numFmtId="9" fontId="0" fillId="0" borderId="5" xfId="21" applyBorder="1" applyAlignment="1">
      <alignment/>
    </xf>
    <xf numFmtId="9" fontId="0" fillId="0" borderId="0" xfId="21" applyBorder="1" applyAlignment="1">
      <alignment/>
    </xf>
    <xf numFmtId="9" fontId="0" fillId="0" borderId="28" xfId="21" applyBorder="1" applyAlignment="1">
      <alignment/>
    </xf>
    <xf numFmtId="9" fontId="0" fillId="0" borderId="29" xfId="21" applyBorder="1" applyAlignment="1">
      <alignment/>
    </xf>
    <xf numFmtId="9" fontId="11" fillId="0" borderId="37" xfId="0" applyNumberFormat="1" applyFont="1" applyFill="1" applyBorder="1" applyAlignment="1">
      <alignment horizontal="center" vertical="top" wrapText="1"/>
    </xf>
    <xf numFmtId="0" fontId="11" fillId="0" borderId="38" xfId="0" applyFont="1" applyBorder="1" applyAlignment="1">
      <alignment vertical="top"/>
    </xf>
    <xf numFmtId="14" fontId="11" fillId="0" borderId="12" xfId="0" applyNumberFormat="1" applyFont="1" applyFill="1" applyBorder="1" applyAlignment="1">
      <alignment vertical="top" wrapText="1"/>
    </xf>
    <xf numFmtId="1" fontId="0" fillId="0" borderId="12" xfId="0" applyNumberFormat="1" applyBorder="1" applyAlignment="1">
      <alignment vertical="top"/>
    </xf>
    <xf numFmtId="0" fontId="0" fillId="0" borderId="18" xfId="0" applyFont="1" applyBorder="1" applyAlignment="1">
      <alignment wrapText="1"/>
    </xf>
    <xf numFmtId="9" fontId="0" fillId="0" borderId="19" xfId="21" applyBorder="1" applyAlignment="1">
      <alignment/>
    </xf>
    <xf numFmtId="0" fontId="0" fillId="0" borderId="3" xfId="0" applyBorder="1" applyAlignment="1">
      <alignment horizontal="center" vertical="center" wrapText="1"/>
    </xf>
    <xf numFmtId="0" fontId="1" fillId="0" borderId="31" xfId="0" applyFont="1" applyBorder="1" applyAlignment="1">
      <alignment horizontal="center" vertical="center"/>
    </xf>
    <xf numFmtId="14" fontId="0" fillId="0" borderId="11" xfId="0" applyNumberFormat="1" applyBorder="1" applyAlignment="1">
      <alignment horizontal="center" vertical="center"/>
    </xf>
    <xf numFmtId="179" fontId="0" fillId="0" borderId="11" xfId="0" applyNumberFormat="1"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wrapText="1"/>
    </xf>
    <xf numFmtId="0" fontId="0" fillId="0" borderId="0" xfId="0" applyBorder="1" applyAlignment="1">
      <alignment horizontal="center" vertical="center"/>
    </xf>
    <xf numFmtId="179" fontId="0" fillId="0" borderId="11" xfId="0" applyNumberFormat="1" applyBorder="1" applyAlignment="1">
      <alignment horizontal="right" vertical="center"/>
    </xf>
    <xf numFmtId="0" fontId="0" fillId="0" borderId="11" xfId="0" applyBorder="1" applyAlignment="1">
      <alignment horizontal="right" vertical="center"/>
    </xf>
    <xf numFmtId="0" fontId="0" fillId="0" borderId="11" xfId="0" applyBorder="1" applyAlignment="1">
      <alignment horizontal="left" vertical="center"/>
    </xf>
    <xf numFmtId="9" fontId="0" fillId="0" borderId="11" xfId="21" applyBorder="1" applyAlignment="1">
      <alignment/>
    </xf>
    <xf numFmtId="0" fontId="1" fillId="0" borderId="31" xfId="0" applyFont="1" applyBorder="1" applyAlignment="1">
      <alignment vertical="top"/>
    </xf>
    <xf numFmtId="0" fontId="1" fillId="0" borderId="32" xfId="0" applyFont="1" applyBorder="1" applyAlignment="1">
      <alignment vertical="top"/>
    </xf>
    <xf numFmtId="14" fontId="0" fillId="0" borderId="9" xfId="0" applyNumberFormat="1" applyBorder="1" applyAlignment="1">
      <alignment vertical="top" wrapText="1"/>
    </xf>
    <xf numFmtId="9" fontId="5" fillId="2" borderId="1" xfId="21" applyFont="1" applyFill="1" applyBorder="1" applyAlignment="1">
      <alignment horizontal="centerContinuous"/>
    </xf>
    <xf numFmtId="9" fontId="5" fillId="2" borderId="1" xfId="21" applyFont="1" applyFill="1" applyBorder="1" applyAlignment="1">
      <alignment horizontal="left"/>
    </xf>
    <xf numFmtId="9" fontId="4" fillId="0" borderId="5" xfId="21" applyFont="1" applyBorder="1" applyAlignment="1">
      <alignment horizontal="center" wrapText="1"/>
    </xf>
    <xf numFmtId="9" fontId="4" fillId="0" borderId="7" xfId="21" applyFont="1" applyBorder="1" applyAlignment="1">
      <alignment horizontal="center" wrapText="1"/>
    </xf>
    <xf numFmtId="9" fontId="11" fillId="0" borderId="12" xfId="21" applyFont="1" applyFill="1" applyBorder="1" applyAlignment="1">
      <alignment horizontal="center" vertical="top" wrapText="1"/>
    </xf>
    <xf numFmtId="9" fontId="4" fillId="0" borderId="15" xfId="21" applyFont="1" applyBorder="1" applyAlignment="1">
      <alignment horizontal="centerContinuous" wrapText="1"/>
    </xf>
    <xf numFmtId="9" fontId="4" fillId="0" borderId="7" xfId="21" applyFont="1" applyBorder="1" applyAlignment="1">
      <alignment horizontal="left" wrapText="1"/>
    </xf>
    <xf numFmtId="0" fontId="4" fillId="0" borderId="8" xfId="0" applyFont="1" applyBorder="1" applyAlignment="1">
      <alignment horizontal="center"/>
    </xf>
    <xf numFmtId="0" fontId="1" fillId="0" borderId="36" xfId="0" applyFont="1" applyBorder="1" applyAlignment="1">
      <alignment vertical="top"/>
    </xf>
    <xf numFmtId="0" fontId="1" fillId="0" borderId="35" xfId="0" applyFont="1" applyBorder="1" applyAlignment="1">
      <alignment vertical="top"/>
    </xf>
    <xf numFmtId="0" fontId="1" fillId="0" borderId="35" xfId="0" applyFont="1" applyBorder="1" applyAlignment="1">
      <alignment/>
    </xf>
    <xf numFmtId="9" fontId="0" fillId="0" borderId="9" xfId="0" applyNumberFormat="1" applyBorder="1" applyAlignment="1">
      <alignment horizontal="right" vertical="top"/>
    </xf>
    <xf numFmtId="0" fontId="0" fillId="0" borderId="18" xfId="0" applyBorder="1" applyAlignment="1">
      <alignment wrapText="1"/>
    </xf>
    <xf numFmtId="0" fontId="7" fillId="2" borderId="2" xfId="0" applyFont="1" applyFill="1" applyBorder="1" applyAlignment="1">
      <alignment horizontal="center"/>
    </xf>
    <xf numFmtId="185" fontId="0" fillId="0" borderId="9" xfId="0" applyNumberFormat="1" applyBorder="1" applyAlignment="1">
      <alignment vertical="top"/>
    </xf>
    <xf numFmtId="185" fontId="0" fillId="0" borderId="5" xfId="0" applyNumberFormat="1" applyBorder="1" applyAlignment="1">
      <alignment vertical="top"/>
    </xf>
    <xf numFmtId="9" fontId="0" fillId="0" borderId="39" xfId="0" applyNumberFormat="1" applyBorder="1" applyAlignment="1">
      <alignment vertical="top"/>
    </xf>
    <xf numFmtId="14" fontId="0" fillId="0" borderId="16" xfId="0" applyNumberFormat="1" applyBorder="1" applyAlignment="1">
      <alignment/>
    </xf>
    <xf numFmtId="9" fontId="0" fillId="0" borderId="9" xfId="21" applyFont="1" applyBorder="1" applyAlignment="1">
      <alignment/>
    </xf>
    <xf numFmtId="14" fontId="0" fillId="0" borderId="35" xfId="0" applyNumberFormat="1" applyBorder="1" applyAlignment="1">
      <alignment/>
    </xf>
    <xf numFmtId="0" fontId="0" fillId="0" borderId="23" xfId="0" applyBorder="1" applyAlignment="1">
      <alignment/>
    </xf>
    <xf numFmtId="0" fontId="1" fillId="0" borderId="40" xfId="0" applyFont="1" applyBorder="1" applyAlignment="1">
      <alignment/>
    </xf>
    <xf numFmtId="14" fontId="0" fillId="0" borderId="41" xfId="0" applyNumberFormat="1" applyBorder="1" applyAlignment="1">
      <alignment/>
    </xf>
    <xf numFmtId="9" fontId="0" fillId="0" borderId="41" xfId="21"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1" fillId="0" borderId="44" xfId="0" applyFont="1" applyBorder="1" applyAlignment="1">
      <alignment/>
    </xf>
    <xf numFmtId="14" fontId="0" fillId="0" borderId="45" xfId="0" applyNumberFormat="1" applyBorder="1" applyAlignment="1">
      <alignment/>
    </xf>
    <xf numFmtId="9" fontId="0" fillId="0" borderId="45" xfId="21" applyBorder="1" applyAlignment="1">
      <alignment/>
    </xf>
    <xf numFmtId="0" fontId="0" fillId="0" borderId="45" xfId="0" applyBorder="1" applyAlignment="1">
      <alignment/>
    </xf>
    <xf numFmtId="0" fontId="0" fillId="0" borderId="46" xfId="0" applyBorder="1" applyAlignment="1">
      <alignment/>
    </xf>
    <xf numFmtId="0" fontId="1" fillId="0" borderId="47" xfId="0" applyFont="1" applyBorder="1" applyAlignment="1">
      <alignment/>
    </xf>
    <xf numFmtId="0" fontId="0" fillId="0" borderId="48" xfId="0" applyBorder="1" applyAlignment="1">
      <alignment/>
    </xf>
    <xf numFmtId="9" fontId="0" fillId="0" borderId="48" xfId="21" applyBorder="1" applyAlignment="1">
      <alignment/>
    </xf>
    <xf numFmtId="179" fontId="0" fillId="0" borderId="48" xfId="0" applyNumberFormat="1" applyBorder="1" applyAlignment="1">
      <alignment/>
    </xf>
    <xf numFmtId="9" fontId="0" fillId="0" borderId="26" xfId="21" applyBorder="1" applyAlignment="1">
      <alignment/>
    </xf>
    <xf numFmtId="0" fontId="0" fillId="0" borderId="14" xfId="0" applyBorder="1" applyAlignment="1">
      <alignment wrapText="1"/>
    </xf>
    <xf numFmtId="9" fontId="0" fillId="0" borderId="9" xfId="21" applyBorder="1" applyAlignment="1">
      <alignment vertical="top"/>
    </xf>
    <xf numFmtId="185" fontId="0" fillId="0" borderId="9" xfId="21" applyNumberFormat="1" applyBorder="1" applyAlignment="1">
      <alignment vertical="top"/>
    </xf>
    <xf numFmtId="9" fontId="0" fillId="0" borderId="5" xfId="21" applyBorder="1" applyAlignment="1">
      <alignment vertical="top"/>
    </xf>
    <xf numFmtId="185" fontId="0" fillId="0" borderId="5" xfId="21" applyNumberFormat="1" applyBorder="1" applyAlignment="1">
      <alignment vertical="top"/>
    </xf>
    <xf numFmtId="185" fontId="0" fillId="0" borderId="9" xfId="21" applyNumberFormat="1" applyFont="1" applyBorder="1" applyAlignment="1">
      <alignment vertical="top"/>
    </xf>
    <xf numFmtId="9" fontId="0" fillId="0" borderId="5" xfId="21" applyBorder="1" applyAlignment="1">
      <alignment/>
    </xf>
    <xf numFmtId="185" fontId="0" fillId="0" borderId="5" xfId="21" applyNumberFormat="1" applyBorder="1" applyAlignment="1">
      <alignment/>
    </xf>
    <xf numFmtId="9" fontId="0" fillId="0" borderId="9" xfId="21" applyBorder="1" applyAlignment="1">
      <alignment/>
    </xf>
    <xf numFmtId="185" fontId="0" fillId="0" borderId="9" xfId="21" applyNumberFormat="1" applyFont="1" applyBorder="1" applyAlignment="1">
      <alignment/>
    </xf>
    <xf numFmtId="185" fontId="0" fillId="0" borderId="9" xfId="21" applyNumberFormat="1" applyBorder="1" applyAlignment="1">
      <alignment/>
    </xf>
    <xf numFmtId="9" fontId="0" fillId="0" borderId="7" xfId="21" applyBorder="1" applyAlignment="1">
      <alignment/>
    </xf>
    <xf numFmtId="185" fontId="0" fillId="0" borderId="7" xfId="21" applyNumberFormat="1" applyBorder="1" applyAlignment="1">
      <alignment/>
    </xf>
    <xf numFmtId="9" fontId="0" fillId="0" borderId="0" xfId="21" applyBorder="1" applyAlignment="1">
      <alignment/>
    </xf>
    <xf numFmtId="1" fontId="1" fillId="0" borderId="12" xfId="0" applyNumberFormat="1" applyFont="1" applyBorder="1" applyAlignment="1">
      <alignment horizontal="center" vertical="center"/>
    </xf>
    <xf numFmtId="179" fontId="0" fillId="0" borderId="9" xfId="21" applyNumberFormat="1" applyBorder="1" applyAlignment="1">
      <alignment vertical="top"/>
    </xf>
    <xf numFmtId="179" fontId="0" fillId="0" borderId="9" xfId="21" applyNumberFormat="1" applyFont="1" applyBorder="1" applyAlignment="1">
      <alignment horizontal="right" vertical="top" wrapText="1"/>
    </xf>
    <xf numFmtId="9" fontId="0" fillId="0" borderId="9" xfId="21" applyNumberFormat="1" applyBorder="1" applyAlignment="1">
      <alignment horizontal="right" vertical="top" wrapText="1"/>
    </xf>
    <xf numFmtId="185" fontId="0" fillId="0" borderId="9" xfId="21" applyNumberFormat="1" applyFont="1" applyBorder="1" applyAlignment="1">
      <alignment horizontal="right" vertical="top" wrapText="1"/>
    </xf>
    <xf numFmtId="179" fontId="0" fillId="0" borderId="5" xfId="21" applyNumberFormat="1" applyBorder="1" applyAlignment="1">
      <alignment vertical="top"/>
    </xf>
    <xf numFmtId="9" fontId="0" fillId="0" borderId="30" xfId="21" applyNumberFormat="1" applyBorder="1" applyAlignment="1">
      <alignment vertical="top"/>
    </xf>
    <xf numFmtId="9" fontId="0" fillId="0" borderId="5" xfId="21" applyNumberFormat="1" applyBorder="1" applyAlignment="1">
      <alignment/>
    </xf>
    <xf numFmtId="9" fontId="0" fillId="0" borderId="5" xfId="21" applyNumberFormat="1" applyBorder="1" applyAlignment="1">
      <alignment vertical="top"/>
    </xf>
    <xf numFmtId="9" fontId="0" fillId="0" borderId="9" xfId="21" applyNumberFormat="1" applyBorder="1" applyAlignment="1">
      <alignment/>
    </xf>
    <xf numFmtId="9" fontId="0" fillId="0" borderId="7" xfId="21" applyNumberFormat="1" applyBorder="1" applyAlignment="1">
      <alignment/>
    </xf>
    <xf numFmtId="9" fontId="0" fillId="0" borderId="24" xfId="21" applyNumberFormat="1" applyBorder="1" applyAlignment="1">
      <alignment/>
    </xf>
    <xf numFmtId="9" fontId="0" fillId="0" borderId="5" xfId="21" applyNumberFormat="1" applyFont="1" applyBorder="1" applyAlignment="1">
      <alignment vertical="top"/>
    </xf>
    <xf numFmtId="14" fontId="0" fillId="0" borderId="5" xfId="21" applyNumberFormat="1" applyBorder="1" applyAlignment="1">
      <alignment vertical="top"/>
    </xf>
    <xf numFmtId="14" fontId="0" fillId="0" borderId="9" xfId="21" applyNumberFormat="1" applyBorder="1" applyAlignment="1">
      <alignment/>
    </xf>
    <xf numFmtId="14" fontId="0" fillId="0" borderId="9" xfId="21" applyNumberFormat="1" applyBorder="1" applyAlignment="1">
      <alignment vertical="top"/>
    </xf>
    <xf numFmtId="14" fontId="0" fillId="0" borderId="7" xfId="21" applyNumberFormat="1" applyBorder="1" applyAlignment="1">
      <alignment/>
    </xf>
    <xf numFmtId="179" fontId="0" fillId="0" borderId="7" xfId="21" applyNumberFormat="1" applyBorder="1" applyAlignment="1">
      <alignment vertical="top"/>
    </xf>
    <xf numFmtId="185" fontId="0" fillId="0" borderId="24" xfId="21" applyNumberFormat="1" applyBorder="1" applyAlignment="1">
      <alignment/>
    </xf>
    <xf numFmtId="9" fontId="0" fillId="0" borderId="49" xfId="21" applyNumberFormat="1" applyBorder="1" applyAlignment="1">
      <alignment vertical="top"/>
    </xf>
    <xf numFmtId="0" fontId="1" fillId="0" borderId="50" xfId="0" applyFont="1" applyBorder="1" applyAlignment="1">
      <alignment/>
    </xf>
    <xf numFmtId="1" fontId="0" fillId="0" borderId="51" xfId="0" applyNumberFormat="1" applyBorder="1" applyAlignment="1">
      <alignment vertical="top" wrapText="1"/>
    </xf>
    <xf numFmtId="1" fontId="0" fillId="0" borderId="52" xfId="0" applyNumberFormat="1" applyBorder="1" applyAlignment="1">
      <alignment vertical="top" wrapText="1"/>
    </xf>
    <xf numFmtId="0" fontId="0" fillId="0" borderId="52" xfId="0" applyFont="1" applyBorder="1" applyAlignment="1">
      <alignment wrapText="1"/>
    </xf>
    <xf numFmtId="0" fontId="0" fillId="0" borderId="52" xfId="0" applyBorder="1" applyAlignment="1">
      <alignment/>
    </xf>
    <xf numFmtId="0" fontId="0" fillId="0" borderId="53" xfId="0" applyBorder="1" applyAlignment="1">
      <alignment/>
    </xf>
    <xf numFmtId="0" fontId="1" fillId="0" borderId="48" xfId="0" applyFont="1" applyBorder="1" applyAlignment="1">
      <alignment/>
    </xf>
    <xf numFmtId="14" fontId="0" fillId="0" borderId="48" xfId="0" applyNumberFormat="1" applyBorder="1" applyAlignment="1">
      <alignment/>
    </xf>
    <xf numFmtId="1" fontId="0" fillId="0" borderId="20" xfId="0" applyNumberFormat="1" applyBorder="1" applyAlignment="1">
      <alignment vertical="top" wrapText="1"/>
    </xf>
    <xf numFmtId="9" fontId="0" fillId="0" borderId="54" xfId="21" applyBorder="1" applyAlignment="1">
      <alignment vertical="top"/>
    </xf>
    <xf numFmtId="9" fontId="0" fillId="0" borderId="28" xfId="21" applyBorder="1" applyAlignment="1">
      <alignment vertical="top"/>
    </xf>
    <xf numFmtId="9" fontId="0" fillId="0" borderId="55" xfId="21" applyBorder="1" applyAlignment="1">
      <alignment vertical="top"/>
    </xf>
    <xf numFmtId="0" fontId="0" fillId="0" borderId="23" xfId="0" applyFont="1" applyBorder="1" applyAlignment="1">
      <alignment vertical="top" wrapText="1"/>
    </xf>
    <xf numFmtId="1" fontId="0" fillId="0" borderId="3" xfId="0" applyNumberFormat="1" applyBorder="1" applyAlignment="1">
      <alignment vertical="top" wrapText="1"/>
    </xf>
    <xf numFmtId="0" fontId="1" fillId="0" borderId="51" xfId="0" applyFont="1" applyBorder="1" applyAlignment="1">
      <alignment vertical="top"/>
    </xf>
    <xf numFmtId="14" fontId="0" fillId="0" borderId="32" xfId="0" applyNumberFormat="1" applyBorder="1" applyAlignment="1">
      <alignment vertical="top"/>
    </xf>
    <xf numFmtId="0" fontId="0" fillId="0" borderId="53" xfId="0" applyBorder="1" applyAlignment="1">
      <alignment vertical="top"/>
    </xf>
    <xf numFmtId="14" fontId="0" fillId="0" borderId="56" xfId="0" applyNumberFormat="1" applyBorder="1" applyAlignment="1">
      <alignment vertical="top"/>
    </xf>
    <xf numFmtId="2" fontId="0" fillId="0" borderId="52" xfId="0" applyNumberFormat="1" applyBorder="1" applyAlignment="1">
      <alignment vertical="top" wrapText="1"/>
    </xf>
    <xf numFmtId="181" fontId="0" fillId="0" borderId="9" xfId="0" applyNumberFormat="1" applyBorder="1" applyAlignment="1">
      <alignment/>
    </xf>
    <xf numFmtId="0" fontId="0" fillId="0" borderId="25" xfId="0" applyFont="1" applyBorder="1" applyAlignment="1">
      <alignment vertical="top" wrapText="1"/>
    </xf>
    <xf numFmtId="0" fontId="1" fillId="0" borderId="57" xfId="0" applyFont="1" applyBorder="1" applyAlignment="1">
      <alignment/>
    </xf>
    <xf numFmtId="0" fontId="1" fillId="0" borderId="52" xfId="0" applyFont="1" applyBorder="1" applyAlignment="1">
      <alignment vertical="top"/>
    </xf>
    <xf numFmtId="14" fontId="0" fillId="0" borderId="36" xfId="0" applyNumberFormat="1" applyBorder="1" applyAlignment="1">
      <alignment vertical="top"/>
    </xf>
    <xf numFmtId="0" fontId="1" fillId="0" borderId="58" xfId="0" applyFont="1" applyBorder="1" applyAlignment="1">
      <alignment/>
    </xf>
    <xf numFmtId="0" fontId="0" fillId="0" borderId="23" xfId="0" applyFont="1" applyFill="1" applyBorder="1" applyAlignment="1">
      <alignment vertical="top"/>
    </xf>
    <xf numFmtId="189" fontId="0" fillId="0" borderId="52" xfId="0" applyNumberFormat="1" applyFont="1" applyBorder="1" applyAlignment="1">
      <alignment wrapText="1"/>
    </xf>
    <xf numFmtId="199" fontId="0" fillId="0" borderId="3" xfId="0" applyNumberFormat="1" applyBorder="1" applyAlignment="1">
      <alignment/>
    </xf>
    <xf numFmtId="200" fontId="0" fillId="0" borderId="3" xfId="0" applyNumberFormat="1" applyBorder="1" applyAlignment="1">
      <alignment/>
    </xf>
    <xf numFmtId="190" fontId="0" fillId="0" borderId="52" xfId="0" applyNumberFormat="1" applyBorder="1" applyAlignment="1">
      <alignment/>
    </xf>
    <xf numFmtId="0" fontId="0" fillId="0" borderId="18" xfId="0" applyFont="1" applyFill="1" applyBorder="1" applyAlignment="1">
      <alignment vertical="top"/>
    </xf>
    <xf numFmtId="9" fontId="0" fillId="0" borderId="5" xfId="0" applyNumberFormat="1" applyBorder="1" applyAlignment="1">
      <alignment/>
    </xf>
    <xf numFmtId="9" fontId="0" fillId="0" borderId="7" xfId="21" applyFont="1" applyBorder="1" applyAlignment="1">
      <alignment horizontal="right" wrapText="1"/>
    </xf>
    <xf numFmtId="9" fontId="0" fillId="0" borderId="21" xfId="21" applyBorder="1" applyAlignment="1">
      <alignment/>
    </xf>
    <xf numFmtId="9" fontId="0" fillId="0" borderId="24" xfId="21" applyBorder="1" applyAlignment="1">
      <alignment/>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185" fontId="0" fillId="0" borderId="9" xfId="21" applyNumberFormat="1" applyBorder="1" applyAlignment="1">
      <alignment/>
    </xf>
    <xf numFmtId="9" fontId="0" fillId="0" borderId="30" xfId="21" applyNumberFormat="1" applyBorder="1" applyAlignment="1">
      <alignment/>
    </xf>
    <xf numFmtId="185" fontId="0" fillId="0" borderId="9" xfId="21" applyNumberFormat="1" applyBorder="1" applyAlignment="1">
      <alignment vertical="top"/>
    </xf>
    <xf numFmtId="0" fontId="0" fillId="0" borderId="20" xfId="0" applyFont="1" applyFill="1" applyBorder="1" applyAlignment="1">
      <alignment vertical="top"/>
    </xf>
    <xf numFmtId="0" fontId="0" fillId="0" borderId="25" xfId="0" applyFont="1" applyFill="1" applyBorder="1" applyAlignment="1">
      <alignment vertical="top"/>
    </xf>
    <xf numFmtId="0" fontId="0" fillId="0" borderId="25" xfId="0" applyBorder="1" applyAlignment="1">
      <alignment/>
    </xf>
    <xf numFmtId="9" fontId="0" fillId="0" borderId="59" xfId="0" applyNumberFormat="1" applyBorder="1" applyAlignment="1">
      <alignment/>
    </xf>
    <xf numFmtId="9" fontId="11" fillId="0" borderId="60" xfId="0" applyNumberFormat="1" applyFont="1" applyFill="1" applyBorder="1" applyAlignment="1">
      <alignment horizontal="center" vertical="top" wrapText="1"/>
    </xf>
    <xf numFmtId="9" fontId="11" fillId="0" borderId="61" xfId="0" applyNumberFormat="1" applyFont="1" applyFill="1" applyBorder="1" applyAlignment="1">
      <alignment horizontal="center" vertical="top" wrapText="1"/>
    </xf>
    <xf numFmtId="1" fontId="1" fillId="0" borderId="62" xfId="0" applyNumberFormat="1" applyFont="1" applyBorder="1" applyAlignment="1">
      <alignment horizontal="center" vertical="center"/>
    </xf>
    <xf numFmtId="14" fontId="11" fillId="0" borderId="63" xfId="0" applyNumberFormat="1" applyFont="1" applyFill="1" applyBorder="1" applyAlignment="1">
      <alignment vertical="top" wrapText="1"/>
    </xf>
    <xf numFmtId="0" fontId="11" fillId="0" borderId="64" xfId="0" applyFont="1" applyBorder="1" applyAlignment="1">
      <alignment vertical="top"/>
    </xf>
    <xf numFmtId="185" fontId="0" fillId="0" borderId="9" xfId="0" applyNumberFormat="1" applyBorder="1" applyAlignment="1">
      <alignment/>
    </xf>
    <xf numFmtId="0" fontId="0" fillId="0" borderId="0" xfId="0" applyAlignment="1">
      <alignment vertical="top"/>
    </xf>
    <xf numFmtId="185" fontId="0" fillId="0" borderId="7" xfId="21" applyNumberFormat="1" applyBorder="1" applyAlignment="1">
      <alignment vertical="top"/>
    </xf>
    <xf numFmtId="9" fontId="0" fillId="0" borderId="9" xfId="21" applyNumberFormat="1" applyBorder="1" applyAlignment="1">
      <alignment vertical="top"/>
    </xf>
    <xf numFmtId="185" fontId="0" fillId="0" borderId="7" xfId="21" applyNumberFormat="1" applyBorder="1" applyAlignment="1">
      <alignment vertical="top"/>
    </xf>
    <xf numFmtId="9" fontId="5" fillId="2" borderId="1" xfId="0" applyNumberFormat="1" applyFont="1" applyFill="1" applyBorder="1" applyAlignment="1">
      <alignment horizontal="centerContinuous"/>
    </xf>
    <xf numFmtId="9" fontId="5" fillId="2" borderId="1" xfId="0" applyNumberFormat="1" applyFont="1" applyFill="1" applyBorder="1" applyAlignment="1">
      <alignment horizontal="left"/>
    </xf>
    <xf numFmtId="9" fontId="0" fillId="0" borderId="19" xfId="21" applyNumberFormat="1" applyBorder="1" applyAlignment="1">
      <alignment vertical="top"/>
    </xf>
    <xf numFmtId="9" fontId="0" fillId="0" borderId="7" xfId="21" applyNumberFormat="1" applyBorder="1" applyAlignment="1">
      <alignment vertical="top"/>
    </xf>
    <xf numFmtId="9" fontId="0" fillId="0" borderId="25" xfId="21" applyNumberFormat="1" applyBorder="1" applyAlignment="1">
      <alignment/>
    </xf>
    <xf numFmtId="199" fontId="0" fillId="0" borderId="3" xfId="0" applyNumberFormat="1" applyBorder="1" applyAlignment="1">
      <alignment wrapText="1"/>
    </xf>
    <xf numFmtId="0" fontId="0" fillId="0" borderId="52" xfId="0" applyBorder="1" applyAlignment="1">
      <alignment wrapText="1"/>
    </xf>
    <xf numFmtId="9" fontId="0" fillId="0" borderId="59" xfId="0" applyNumberFormat="1" applyBorder="1" applyAlignment="1">
      <alignment vertical="top"/>
    </xf>
    <xf numFmtId="0" fontId="0" fillId="0" borderId="9" xfId="0" applyBorder="1" applyAlignment="1">
      <alignment vertical="top" wrapText="1"/>
    </xf>
    <xf numFmtId="0" fontId="5" fillId="2" borderId="1" xfId="0" applyFont="1" applyFill="1" applyBorder="1" applyAlignment="1">
      <alignment horizontal="centerContinuous" wrapText="1"/>
    </xf>
    <xf numFmtId="0" fontId="5" fillId="2" borderId="1" xfId="0" applyFont="1" applyFill="1" applyBorder="1" applyAlignment="1">
      <alignment horizontal="left" wrapText="1"/>
    </xf>
    <xf numFmtId="1" fontId="0" fillId="0" borderId="5" xfId="0" applyNumberFormat="1" applyBorder="1" applyAlignment="1">
      <alignment vertical="top" wrapText="1"/>
    </xf>
    <xf numFmtId="1" fontId="0" fillId="0" borderId="9" xfId="0" applyNumberFormat="1" applyBorder="1" applyAlignment="1">
      <alignment vertical="top" wrapText="1"/>
    </xf>
    <xf numFmtId="1" fontId="0" fillId="0" borderId="7" xfId="0" applyNumberFormat="1" applyBorder="1" applyAlignment="1">
      <alignment vertical="top" wrapText="1"/>
    </xf>
    <xf numFmtId="0" fontId="0" fillId="0" borderId="9" xfId="0" applyBorder="1" applyAlignment="1">
      <alignment wrapText="1"/>
    </xf>
    <xf numFmtId="0" fontId="0" fillId="0" borderId="7" xfId="0" applyBorder="1" applyAlignment="1">
      <alignment wrapText="1"/>
    </xf>
    <xf numFmtId="0" fontId="0" fillId="0" borderId="5" xfId="0" applyBorder="1" applyAlignment="1">
      <alignment wrapText="1"/>
    </xf>
    <xf numFmtId="0" fontId="0" fillId="0" borderId="5" xfId="0" applyBorder="1" applyAlignment="1">
      <alignment vertical="top" wrapText="1"/>
    </xf>
    <xf numFmtId="0" fontId="0" fillId="0" borderId="11" xfId="0" applyBorder="1" applyAlignment="1">
      <alignment vertical="top" wrapText="1"/>
    </xf>
    <xf numFmtId="0" fontId="0" fillId="0" borderId="2" xfId="0" applyBorder="1" applyAlignment="1">
      <alignment vertical="top"/>
    </xf>
    <xf numFmtId="0" fontId="0" fillId="0" borderId="14" xfId="0" applyBorder="1" applyAlignment="1">
      <alignment vertical="top"/>
    </xf>
    <xf numFmtId="179" fontId="1" fillId="0" borderId="17" xfId="0" applyNumberFormat="1" applyFont="1" applyBorder="1" applyAlignment="1">
      <alignment horizontal="center" vertical="top"/>
    </xf>
    <xf numFmtId="179" fontId="1" fillId="0" borderId="35" xfId="0" applyNumberFormat="1" applyFont="1" applyBorder="1" applyAlignment="1">
      <alignment horizontal="center" vertical="top"/>
    </xf>
    <xf numFmtId="179" fontId="1" fillId="0" borderId="65" xfId="0" applyNumberFormat="1" applyFont="1" applyBorder="1" applyAlignment="1">
      <alignment horizontal="center" vertical="top"/>
    </xf>
    <xf numFmtId="179" fontId="1" fillId="0" borderId="66" xfId="0" applyNumberFormat="1" applyFont="1" applyBorder="1" applyAlignment="1">
      <alignment horizontal="center" vertical="top"/>
    </xf>
    <xf numFmtId="179" fontId="4" fillId="0" borderId="67" xfId="0" applyNumberFormat="1" applyFont="1" applyBorder="1" applyAlignment="1">
      <alignment horizontal="center" wrapText="1"/>
    </xf>
    <xf numFmtId="179" fontId="4" fillId="0" borderId="68" xfId="0" applyNumberFormat="1" applyFont="1" applyBorder="1" applyAlignment="1">
      <alignment horizontal="center" wrapText="1"/>
    </xf>
    <xf numFmtId="14" fontId="0" fillId="0" borderId="69" xfId="0" applyNumberFormat="1" applyFont="1" applyFill="1" applyBorder="1" applyAlignment="1">
      <alignment wrapText="1"/>
    </xf>
    <xf numFmtId="0" fontId="0" fillId="0" borderId="1" xfId="0" applyFont="1" applyFill="1" applyBorder="1" applyAlignment="1">
      <alignment wrapText="1"/>
    </xf>
    <xf numFmtId="0" fontId="0" fillId="0" borderId="2" xfId="0" applyBorder="1" applyAlignment="1">
      <alignment/>
    </xf>
    <xf numFmtId="0" fontId="0" fillId="0" borderId="69" xfId="0" applyBorder="1" applyAlignment="1">
      <alignment/>
    </xf>
    <xf numFmtId="0" fontId="0" fillId="0" borderId="1" xfId="0" applyBorder="1" applyAlignment="1">
      <alignment/>
    </xf>
    <xf numFmtId="0" fontId="1" fillId="0" borderId="12" xfId="0" applyFont="1" applyBorder="1" applyAlignment="1">
      <alignment vertical="top"/>
    </xf>
    <xf numFmtId="14" fontId="0" fillId="0" borderId="70" xfId="0" applyNumberFormat="1" applyBorder="1" applyAlignment="1">
      <alignment vertical="top"/>
    </xf>
    <xf numFmtId="0" fontId="0" fillId="0" borderId="1" xfId="0" applyBorder="1" applyAlignment="1">
      <alignment vertical="top"/>
    </xf>
    <xf numFmtId="0" fontId="0" fillId="0" borderId="2" xfId="0" applyBorder="1" applyAlignment="1">
      <alignment vertical="top"/>
    </xf>
    <xf numFmtId="9" fontId="0" fillId="0" borderId="69" xfId="21" applyFont="1" applyBorder="1" applyAlignment="1">
      <alignment/>
    </xf>
    <xf numFmtId="14" fontId="0" fillId="0" borderId="69" xfId="0" applyNumberFormat="1" applyBorder="1" applyAlignment="1">
      <alignment/>
    </xf>
    <xf numFmtId="14" fontId="0" fillId="0" borderId="69" xfId="0" applyNumberFormat="1" applyBorder="1" applyAlignment="1">
      <alignment vertical="top"/>
    </xf>
    <xf numFmtId="0" fontId="1" fillId="0" borderId="70" xfId="0" applyFont="1" applyBorder="1" applyAlignment="1">
      <alignment vertical="top"/>
    </xf>
    <xf numFmtId="14" fontId="0" fillId="0" borderId="71" xfId="0" applyNumberFormat="1" applyBorder="1" applyAlignment="1">
      <alignment vertical="top"/>
    </xf>
    <xf numFmtId="0" fontId="1" fillId="0" borderId="70" xfId="0" applyFont="1" applyBorder="1" applyAlignment="1">
      <alignment/>
    </xf>
    <xf numFmtId="0" fontId="0" fillId="0" borderId="18" xfId="0" applyFill="1" applyBorder="1" applyAlignment="1">
      <alignment/>
    </xf>
    <xf numFmtId="0" fontId="0" fillId="0" borderId="14" xfId="0" applyFill="1" applyBorder="1" applyAlignment="1">
      <alignment/>
    </xf>
    <xf numFmtId="0" fontId="0" fillId="0" borderId="72" xfId="0" applyBorder="1" applyAlignment="1">
      <alignment horizontal="center"/>
    </xf>
    <xf numFmtId="0" fontId="0" fillId="0" borderId="26" xfId="0" applyBorder="1" applyAlignment="1">
      <alignment horizontal="center"/>
    </xf>
    <xf numFmtId="0" fontId="0" fillId="0" borderId="3" xfId="0" applyBorder="1" applyAlignment="1">
      <alignment horizontal="center"/>
    </xf>
    <xf numFmtId="1" fontId="0" fillId="0" borderId="0" xfId="0" applyNumberFormat="1" applyBorder="1" applyAlignment="1">
      <alignment/>
    </xf>
    <xf numFmtId="1" fontId="0" fillId="0" borderId="48" xfId="0" applyNumberFormat="1" applyBorder="1" applyAlignment="1">
      <alignment/>
    </xf>
    <xf numFmtId="14" fontId="0" fillId="0" borderId="26" xfId="0" applyNumberFormat="1" applyBorder="1" applyAlignment="1">
      <alignment/>
    </xf>
    <xf numFmtId="179" fontId="0" fillId="0" borderId="26" xfId="0" applyNumberFormat="1" applyBorder="1" applyAlignment="1">
      <alignment/>
    </xf>
    <xf numFmtId="1" fontId="0" fillId="0" borderId="26"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38100</xdr:rowOff>
    </xdr:from>
    <xdr:to>
      <xdr:col>6</xdr:col>
      <xdr:colOff>571500</xdr:colOff>
      <xdr:row>2</xdr:row>
      <xdr:rowOff>600075</xdr:rowOff>
    </xdr:to>
    <xdr:sp>
      <xdr:nvSpPr>
        <xdr:cNvPr id="1" name="Text 3"/>
        <xdr:cNvSpPr txBox="1">
          <a:spLocks noChangeArrowheads="1"/>
        </xdr:cNvSpPr>
      </xdr:nvSpPr>
      <xdr:spPr>
        <a:xfrm>
          <a:off x="28575" y="542925"/>
          <a:ext cx="4772025"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Volumetric Allocation Scheme (20W) came into effect on the 1/8/1981 to be applicable from the 1981/82 season on. A voluntary rostering system existed from 26/3/1981 for the 1980/81 season.</a:t>
          </a:r>
        </a:p>
      </xdr:txBody>
    </xdr:sp>
    <xdr:clientData/>
  </xdr:twoCellAnchor>
  <xdr:twoCellAnchor>
    <xdr:from>
      <xdr:col>7</xdr:col>
      <xdr:colOff>57150</xdr:colOff>
      <xdr:row>2</xdr:row>
      <xdr:rowOff>38100</xdr:rowOff>
    </xdr:from>
    <xdr:to>
      <xdr:col>7</xdr:col>
      <xdr:colOff>1905000</xdr:colOff>
      <xdr:row>2</xdr:row>
      <xdr:rowOff>409575</xdr:rowOff>
    </xdr:to>
    <xdr:sp>
      <xdr:nvSpPr>
        <xdr:cNvPr id="2" name="Text 4"/>
        <xdr:cNvSpPr txBox="1">
          <a:spLocks noChangeArrowheads="1"/>
        </xdr:cNvSpPr>
      </xdr:nvSpPr>
      <xdr:spPr>
        <a:xfrm>
          <a:off x="5143500" y="542925"/>
          <a:ext cx="1847850"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1981/82 - Current      July - June</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6</xdr:col>
      <xdr:colOff>628650</xdr:colOff>
      <xdr:row>2</xdr:row>
      <xdr:rowOff>676275</xdr:rowOff>
    </xdr:to>
    <xdr:sp>
      <xdr:nvSpPr>
        <xdr:cNvPr id="1" name="Text 1"/>
        <xdr:cNvSpPr txBox="1">
          <a:spLocks noChangeArrowheads="1"/>
        </xdr:cNvSpPr>
      </xdr:nvSpPr>
      <xdr:spPr>
        <a:xfrm>
          <a:off x="9525" y="533400"/>
          <a:ext cx="4924425"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Voluntary Scheme was introduced in September 1980 due to resource shortages. This scheme gave irrigators an allocation equivalent to (6ML/ha + average usage(1978/79 &amp; 1979/80))/2. The actual Volumetric Allocation Scheme (20W) was introduced on 1/8/1981 and was based on 6ML/ha.
</a:t>
          </a:r>
        </a:p>
      </xdr:txBody>
    </xdr:sp>
    <xdr:clientData/>
  </xdr:twoCellAnchor>
  <xdr:twoCellAnchor>
    <xdr:from>
      <xdr:col>7</xdr:col>
      <xdr:colOff>0</xdr:colOff>
      <xdr:row>2</xdr:row>
      <xdr:rowOff>28575</xdr:rowOff>
    </xdr:from>
    <xdr:to>
      <xdr:col>7</xdr:col>
      <xdr:colOff>1857375</xdr:colOff>
      <xdr:row>2</xdr:row>
      <xdr:rowOff>666750</xdr:rowOff>
    </xdr:to>
    <xdr:sp>
      <xdr:nvSpPr>
        <xdr:cNvPr id="2" name="Text 3"/>
        <xdr:cNvSpPr txBox="1">
          <a:spLocks noChangeArrowheads="1"/>
        </xdr:cNvSpPr>
      </xdr:nvSpPr>
      <xdr:spPr>
        <a:xfrm>
          <a:off x="5162550" y="533400"/>
          <a:ext cx="1857375" cy="638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1980/81 - Current   July - June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28575</xdr:rowOff>
    </xdr:from>
    <xdr:to>
      <xdr:col>6</xdr:col>
      <xdr:colOff>657225</xdr:colOff>
      <xdr:row>2</xdr:row>
      <xdr:rowOff>714375</xdr:rowOff>
    </xdr:to>
    <xdr:sp>
      <xdr:nvSpPr>
        <xdr:cNvPr id="1" name="Text 1"/>
        <xdr:cNvSpPr txBox="1">
          <a:spLocks noChangeArrowheads="1"/>
        </xdr:cNvSpPr>
      </xdr:nvSpPr>
      <xdr:spPr>
        <a:xfrm>
          <a:off x="28575" y="533400"/>
          <a:ext cx="4829175" cy="685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Volumetric Allocation Scheme (20W) came into effect on the 1/8/1981 and commenced in the 1981/82 season. A temporary scheme was piloted in the 1980/81 season which gave irrigators an allocation equal to (6 ML/ha + average usage(1978/79&amp;1979/80))/2. This gave a range of allocations from 6-9 ML/ha.</a:t>
          </a:r>
        </a:p>
      </xdr:txBody>
    </xdr:sp>
    <xdr:clientData/>
  </xdr:twoCellAnchor>
  <xdr:twoCellAnchor>
    <xdr:from>
      <xdr:col>7</xdr:col>
      <xdr:colOff>57150</xdr:colOff>
      <xdr:row>2</xdr:row>
      <xdr:rowOff>28575</xdr:rowOff>
    </xdr:from>
    <xdr:to>
      <xdr:col>7</xdr:col>
      <xdr:colOff>1905000</xdr:colOff>
      <xdr:row>2</xdr:row>
      <xdr:rowOff>685800</xdr:rowOff>
    </xdr:to>
    <xdr:sp>
      <xdr:nvSpPr>
        <xdr:cNvPr id="2" name="Text 3"/>
        <xdr:cNvSpPr txBox="1">
          <a:spLocks noChangeArrowheads="1"/>
        </xdr:cNvSpPr>
      </xdr:nvSpPr>
      <xdr:spPr>
        <a:xfrm>
          <a:off x="5114925" y="533400"/>
          <a:ext cx="1847850" cy="65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1980/81 - Current     July - June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6</xdr:col>
      <xdr:colOff>1533525</xdr:colOff>
      <xdr:row>2</xdr:row>
      <xdr:rowOff>1524000</xdr:rowOff>
    </xdr:to>
    <xdr:sp>
      <xdr:nvSpPr>
        <xdr:cNvPr id="1" name="Text 1"/>
        <xdr:cNvSpPr txBox="1">
          <a:spLocks noChangeArrowheads="1"/>
        </xdr:cNvSpPr>
      </xdr:nvSpPr>
      <xdr:spPr>
        <a:xfrm>
          <a:off x="9525" y="533400"/>
          <a:ext cx="5781675" cy="1495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Voluntary scheme introduced in September 1967 due to shortages in valley resources. The allocation was based on 6 ML/ha. Officially the volumetric Allocation Scheme (20W) was introduced on 1/9/81. This was also based on 6 ML/ha.
</a:t>
          </a:r>
          <a:r>
            <a:rPr lang="en-US" cap="none" sz="1000" b="1" i="0" u="sng" baseline="0">
              <a:latin typeface="Arial"/>
              <a:ea typeface="Arial"/>
              <a:cs typeface="Arial"/>
            </a:rPr>
            <a:t>Continuous Accounting - 1998/99 Season
</a:t>
          </a:r>
          <a:r>
            <a:rPr lang="en-US" cap="none" sz="1000" b="0" i="0" u="none" baseline="0">
              <a:latin typeface="Arial"/>
              <a:ea typeface="Arial"/>
              <a:cs typeface="Arial"/>
            </a:rPr>
            <a:t>All irrigators were credited with 150% allocation for 98/99 season, under a new allocation management system called Continuous Accounting (CA). CA will allow to carryover unused allocation and then receive new allocation up to a combined limit of 150%, but will be limited to a max individual on-allocation usage of 100% during a season. In May 2000 the combined valley limit was increased to 200% of valley entitlement.
</a:t>
          </a:r>
        </a:p>
      </xdr:txBody>
    </xdr:sp>
    <xdr:clientData/>
  </xdr:twoCellAnchor>
  <xdr:twoCellAnchor>
    <xdr:from>
      <xdr:col>6</xdr:col>
      <xdr:colOff>1685925</xdr:colOff>
      <xdr:row>2</xdr:row>
      <xdr:rowOff>57150</xdr:rowOff>
    </xdr:from>
    <xdr:to>
      <xdr:col>6</xdr:col>
      <xdr:colOff>4133850</xdr:colOff>
      <xdr:row>2</xdr:row>
      <xdr:rowOff>628650</xdr:rowOff>
    </xdr:to>
    <xdr:sp>
      <xdr:nvSpPr>
        <xdr:cNvPr id="2" name="Text 3"/>
        <xdr:cNvSpPr txBox="1">
          <a:spLocks noChangeArrowheads="1"/>
        </xdr:cNvSpPr>
      </xdr:nvSpPr>
      <xdr:spPr>
        <a:xfrm>
          <a:off x="5943600" y="561975"/>
          <a:ext cx="2447925"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1977/78 - 1986/87   July - June
1987/88 - 2002/03   October - September
2003/04 Season      October - June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7</xdr:col>
      <xdr:colOff>866775</xdr:colOff>
      <xdr:row>2</xdr:row>
      <xdr:rowOff>1352550</xdr:rowOff>
    </xdr:to>
    <xdr:sp>
      <xdr:nvSpPr>
        <xdr:cNvPr id="1" name="Text 1"/>
        <xdr:cNvSpPr txBox="1">
          <a:spLocks noChangeArrowheads="1"/>
        </xdr:cNvSpPr>
      </xdr:nvSpPr>
      <xdr:spPr>
        <a:xfrm>
          <a:off x="9525" y="533400"/>
          <a:ext cx="5972175" cy="1323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Voluntary scheme introduced in September 1967 due to shortages in valley resources. The allocation was based on 6 ML/ha. Officially the volumetric Allocation Scheme (20W) was introduced on 1/9/81. This was also based on 6 ML/ha.
</a:t>
          </a:r>
          <a:r>
            <a:rPr lang="en-US" cap="none" sz="1000" b="1" i="0" u="sng" baseline="0">
              <a:latin typeface="Arial"/>
              <a:ea typeface="Arial"/>
              <a:cs typeface="Arial"/>
            </a:rPr>
            <a:t>Continuous Accounting - 1998/99 Season
</a:t>
          </a:r>
          <a:r>
            <a:rPr lang="en-US" cap="none" sz="1000" b="0" i="0" u="none" baseline="0">
              <a:latin typeface="Arial"/>
              <a:ea typeface="Arial"/>
              <a:cs typeface="Arial"/>
            </a:rPr>
            <a:t>All irrigators were credited with 150% allocation for 98/99 season, under a new allocation management system called Continuous Accounting (CA). CA will allow to carryover unused allocation and then receive new allocation up to a combined limit of 150%, but will be limited to a max individual on-allocation usage of 100% during a season. In May 2000 the combined valley limit was increased to 200% of valley entitlement.
</a:t>
          </a:r>
        </a:p>
      </xdr:txBody>
    </xdr:sp>
    <xdr:clientData/>
  </xdr:twoCellAnchor>
  <xdr:twoCellAnchor>
    <xdr:from>
      <xdr:col>7</xdr:col>
      <xdr:colOff>1095375</xdr:colOff>
      <xdr:row>2</xdr:row>
      <xdr:rowOff>38100</xdr:rowOff>
    </xdr:from>
    <xdr:to>
      <xdr:col>7</xdr:col>
      <xdr:colOff>3543300</xdr:colOff>
      <xdr:row>2</xdr:row>
      <xdr:rowOff>609600</xdr:rowOff>
    </xdr:to>
    <xdr:sp>
      <xdr:nvSpPr>
        <xdr:cNvPr id="2" name="Text 3"/>
        <xdr:cNvSpPr txBox="1">
          <a:spLocks noChangeArrowheads="1"/>
        </xdr:cNvSpPr>
      </xdr:nvSpPr>
      <xdr:spPr>
        <a:xfrm>
          <a:off x="6210300" y="542925"/>
          <a:ext cx="2447925"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1977/78 - 1986/87   July - June
1987/88 - 2002/03   October - September
2003/04 Season      October - June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6</xdr:col>
      <xdr:colOff>695325</xdr:colOff>
      <xdr:row>2</xdr:row>
      <xdr:rowOff>523875</xdr:rowOff>
    </xdr:to>
    <xdr:sp>
      <xdr:nvSpPr>
        <xdr:cNvPr id="1" name="Text 1"/>
        <xdr:cNvSpPr txBox="1">
          <a:spLocks noChangeArrowheads="1"/>
        </xdr:cNvSpPr>
      </xdr:nvSpPr>
      <xdr:spPr>
        <a:xfrm>
          <a:off x="9525" y="533400"/>
          <a:ext cx="5019675"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Voluntary scheme introduced in July 1980 due to resource shortage in the Valley. The allocation was based on 8 ML/ha. The official Volumetric Allocation Scheme (20W) was introduced on 1/9/81. The allocation was also based on 8 ML/ha.
</a:t>
          </a:r>
        </a:p>
      </xdr:txBody>
    </xdr:sp>
    <xdr:clientData/>
  </xdr:twoCellAnchor>
  <xdr:twoCellAnchor>
    <xdr:from>
      <xdr:col>7</xdr:col>
      <xdr:colOff>0</xdr:colOff>
      <xdr:row>2</xdr:row>
      <xdr:rowOff>28575</xdr:rowOff>
    </xdr:from>
    <xdr:to>
      <xdr:col>7</xdr:col>
      <xdr:colOff>1857375</xdr:colOff>
      <xdr:row>2</xdr:row>
      <xdr:rowOff>323850</xdr:rowOff>
    </xdr:to>
    <xdr:sp>
      <xdr:nvSpPr>
        <xdr:cNvPr id="2" name="Text 3"/>
        <xdr:cNvSpPr txBox="1">
          <a:spLocks noChangeArrowheads="1"/>
        </xdr:cNvSpPr>
      </xdr:nvSpPr>
      <xdr:spPr>
        <a:xfrm>
          <a:off x="5343525" y="533400"/>
          <a:ext cx="1857375"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1980/81 - Current   July - June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6</xdr:col>
      <xdr:colOff>628650</xdr:colOff>
      <xdr:row>2</xdr:row>
      <xdr:rowOff>647700</xdr:rowOff>
    </xdr:to>
    <xdr:sp>
      <xdr:nvSpPr>
        <xdr:cNvPr id="1" name="Text 1"/>
        <xdr:cNvSpPr txBox="1">
          <a:spLocks noChangeArrowheads="1"/>
        </xdr:cNvSpPr>
      </xdr:nvSpPr>
      <xdr:spPr>
        <a:xfrm>
          <a:off x="9525" y="533400"/>
          <a:ext cx="4819650" cy="61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Volumetric Allocation Scheme (20W) was introduced in 1988/89 following the completion of Split Rock Dam.
</a:t>
          </a:r>
        </a:p>
      </xdr:txBody>
    </xdr:sp>
    <xdr:clientData/>
  </xdr:twoCellAnchor>
  <xdr:twoCellAnchor>
    <xdr:from>
      <xdr:col>7</xdr:col>
      <xdr:colOff>0</xdr:colOff>
      <xdr:row>2</xdr:row>
      <xdr:rowOff>28575</xdr:rowOff>
    </xdr:from>
    <xdr:to>
      <xdr:col>7</xdr:col>
      <xdr:colOff>2276475</xdr:colOff>
      <xdr:row>2</xdr:row>
      <xdr:rowOff>333375</xdr:rowOff>
    </xdr:to>
    <xdr:sp>
      <xdr:nvSpPr>
        <xdr:cNvPr id="2" name="Text 3"/>
        <xdr:cNvSpPr txBox="1">
          <a:spLocks noChangeArrowheads="1"/>
        </xdr:cNvSpPr>
      </xdr:nvSpPr>
      <xdr:spPr>
        <a:xfrm>
          <a:off x="5057775" y="533400"/>
          <a:ext cx="2276475"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1988/89 - Current   October - September</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6</xdr:col>
      <xdr:colOff>628650</xdr:colOff>
      <xdr:row>2</xdr:row>
      <xdr:rowOff>647700</xdr:rowOff>
    </xdr:to>
    <xdr:sp>
      <xdr:nvSpPr>
        <xdr:cNvPr id="1" name="Text 1"/>
        <xdr:cNvSpPr txBox="1">
          <a:spLocks noChangeArrowheads="1"/>
        </xdr:cNvSpPr>
      </xdr:nvSpPr>
      <xdr:spPr>
        <a:xfrm>
          <a:off x="9525" y="533400"/>
          <a:ext cx="4914900" cy="61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r>
        </a:p>
      </xdr:txBody>
    </xdr:sp>
    <xdr:clientData/>
  </xdr:twoCellAnchor>
  <xdr:twoCellAnchor>
    <xdr:from>
      <xdr:col>7</xdr:col>
      <xdr:colOff>0</xdr:colOff>
      <xdr:row>2</xdr:row>
      <xdr:rowOff>28575</xdr:rowOff>
    </xdr:from>
    <xdr:to>
      <xdr:col>7</xdr:col>
      <xdr:colOff>1857375</xdr:colOff>
      <xdr:row>2</xdr:row>
      <xdr:rowOff>657225</xdr:rowOff>
    </xdr:to>
    <xdr:sp>
      <xdr:nvSpPr>
        <xdr:cNvPr id="2" name="Text 3"/>
        <xdr:cNvSpPr txBox="1">
          <a:spLocks noChangeArrowheads="1"/>
        </xdr:cNvSpPr>
      </xdr:nvSpPr>
      <xdr:spPr>
        <a:xfrm>
          <a:off x="5153025" y="533400"/>
          <a:ext cx="1857375"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2</xdr:row>
      <xdr:rowOff>19050</xdr:rowOff>
    </xdr:from>
    <xdr:to>
      <xdr:col>6</xdr:col>
      <xdr:colOff>657225</xdr:colOff>
      <xdr:row>2</xdr:row>
      <xdr:rowOff>638175</xdr:rowOff>
    </xdr:to>
    <xdr:sp>
      <xdr:nvSpPr>
        <xdr:cNvPr id="3" name="Text 1"/>
        <xdr:cNvSpPr txBox="1">
          <a:spLocks noChangeArrowheads="1"/>
        </xdr:cNvSpPr>
      </xdr:nvSpPr>
      <xdr:spPr>
        <a:xfrm>
          <a:off x="38100" y="523875"/>
          <a:ext cx="4914900" cy="61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Volumetric allocation scheme for the Districts was introduced in September 1967. A Voluntary scheme for pumpers was introduced in July 1975. Official Volumetric Allocation Scheme (20W) for pumpers introduced on 1/9/81.
</a:t>
          </a:r>
        </a:p>
      </xdr:txBody>
    </xdr:sp>
    <xdr:clientData/>
  </xdr:twoCellAnchor>
  <xdr:twoCellAnchor>
    <xdr:from>
      <xdr:col>7</xdr:col>
      <xdr:colOff>9525</xdr:colOff>
      <xdr:row>2</xdr:row>
      <xdr:rowOff>28575</xdr:rowOff>
    </xdr:from>
    <xdr:to>
      <xdr:col>7</xdr:col>
      <xdr:colOff>1857375</xdr:colOff>
      <xdr:row>2</xdr:row>
      <xdr:rowOff>381000</xdr:rowOff>
    </xdr:to>
    <xdr:sp>
      <xdr:nvSpPr>
        <xdr:cNvPr id="4" name="Text 3"/>
        <xdr:cNvSpPr txBox="1">
          <a:spLocks noChangeArrowheads="1"/>
        </xdr:cNvSpPr>
      </xdr:nvSpPr>
      <xdr:spPr>
        <a:xfrm>
          <a:off x="5162550" y="533400"/>
          <a:ext cx="184785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1977/78 - Current   July - June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6</xdr:col>
      <xdr:colOff>809625</xdr:colOff>
      <xdr:row>2</xdr:row>
      <xdr:rowOff>819150</xdr:rowOff>
    </xdr:to>
    <xdr:sp>
      <xdr:nvSpPr>
        <xdr:cNvPr id="1" name="Text 1"/>
        <xdr:cNvSpPr txBox="1">
          <a:spLocks noChangeArrowheads="1"/>
        </xdr:cNvSpPr>
      </xdr:nvSpPr>
      <xdr:spPr>
        <a:xfrm>
          <a:off x="9525" y="552450"/>
          <a:ext cx="5029200"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Temporary Volumetric Allocation Scheme, due to resource shortage, was introduced in August 1980. The allocation given was based on (6ML/ha + average use(1979/80))/2. This gave an allocation range of 6-9 ML/ha. The official scheme (20W) was introduced on 1/7/83. Murrumbidgee allocations include Tumut River System fed by Blowering Dam and the Yanco Creek System.</a:t>
          </a:r>
        </a:p>
      </xdr:txBody>
    </xdr:sp>
    <xdr:clientData/>
  </xdr:twoCellAnchor>
  <xdr:twoCellAnchor>
    <xdr:from>
      <xdr:col>6</xdr:col>
      <xdr:colOff>847725</xdr:colOff>
      <xdr:row>2</xdr:row>
      <xdr:rowOff>19050</xdr:rowOff>
    </xdr:from>
    <xdr:to>
      <xdr:col>7</xdr:col>
      <xdr:colOff>1847850</xdr:colOff>
      <xdr:row>2</xdr:row>
      <xdr:rowOff>352425</xdr:rowOff>
    </xdr:to>
    <xdr:sp>
      <xdr:nvSpPr>
        <xdr:cNvPr id="2" name="Text 3"/>
        <xdr:cNvSpPr txBox="1">
          <a:spLocks noChangeArrowheads="1"/>
        </xdr:cNvSpPr>
      </xdr:nvSpPr>
      <xdr:spPr>
        <a:xfrm>
          <a:off x="5076825" y="552450"/>
          <a:ext cx="1857375"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1980/81 - Current    July - June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6</xdr:col>
      <xdr:colOff>628650</xdr:colOff>
      <xdr:row>2</xdr:row>
      <xdr:rowOff>647700</xdr:rowOff>
    </xdr:to>
    <xdr:sp>
      <xdr:nvSpPr>
        <xdr:cNvPr id="1" name="Text 1"/>
        <xdr:cNvSpPr txBox="1">
          <a:spLocks noChangeArrowheads="1"/>
        </xdr:cNvSpPr>
      </xdr:nvSpPr>
      <xdr:spPr>
        <a:xfrm>
          <a:off x="9525" y="533400"/>
          <a:ext cx="4895850" cy="61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Volumetric Allocation Scheme (20W) came into effect on the 1/9/1981.
</a:t>
          </a:r>
        </a:p>
      </xdr:txBody>
    </xdr:sp>
    <xdr:clientData/>
  </xdr:twoCellAnchor>
  <xdr:twoCellAnchor>
    <xdr:from>
      <xdr:col>7</xdr:col>
      <xdr:colOff>0</xdr:colOff>
      <xdr:row>2</xdr:row>
      <xdr:rowOff>28575</xdr:rowOff>
    </xdr:from>
    <xdr:to>
      <xdr:col>7</xdr:col>
      <xdr:colOff>1857375</xdr:colOff>
      <xdr:row>2</xdr:row>
      <xdr:rowOff>657225</xdr:rowOff>
    </xdr:to>
    <xdr:sp>
      <xdr:nvSpPr>
        <xdr:cNvPr id="2" name="Text 3"/>
        <xdr:cNvSpPr txBox="1">
          <a:spLocks noChangeArrowheads="1"/>
        </xdr:cNvSpPr>
      </xdr:nvSpPr>
      <xdr:spPr>
        <a:xfrm>
          <a:off x="5295900" y="533400"/>
          <a:ext cx="1857375"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1981/82 - Current   July - June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6</xdr:col>
      <xdr:colOff>628650</xdr:colOff>
      <xdr:row>2</xdr:row>
      <xdr:rowOff>685800</xdr:rowOff>
    </xdr:to>
    <xdr:sp>
      <xdr:nvSpPr>
        <xdr:cNvPr id="1" name="Text 1"/>
        <xdr:cNvSpPr txBox="1">
          <a:spLocks noChangeArrowheads="1"/>
        </xdr:cNvSpPr>
      </xdr:nvSpPr>
      <xdr:spPr>
        <a:xfrm>
          <a:off x="9525" y="533400"/>
          <a:ext cx="4819650" cy="65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 restricted supply was given to low security irrigators on the Peel on 21/10/80. No supply for low security irrigation D/S of Tamworth from 23/1/81. No low security irrigation supplies for the total river from 2/2/81. The official Volumetric Allocation Scheme (20W) was introduced on 1/9/81.
</a:t>
          </a:r>
        </a:p>
      </xdr:txBody>
    </xdr:sp>
    <xdr:clientData/>
  </xdr:twoCellAnchor>
  <xdr:twoCellAnchor>
    <xdr:from>
      <xdr:col>7</xdr:col>
      <xdr:colOff>0</xdr:colOff>
      <xdr:row>2</xdr:row>
      <xdr:rowOff>28575</xdr:rowOff>
    </xdr:from>
    <xdr:to>
      <xdr:col>7</xdr:col>
      <xdr:colOff>1857375</xdr:colOff>
      <xdr:row>2</xdr:row>
      <xdr:rowOff>390525</xdr:rowOff>
    </xdr:to>
    <xdr:sp>
      <xdr:nvSpPr>
        <xdr:cNvPr id="2" name="Text 3"/>
        <xdr:cNvSpPr txBox="1">
          <a:spLocks noChangeArrowheads="1"/>
        </xdr:cNvSpPr>
      </xdr:nvSpPr>
      <xdr:spPr>
        <a:xfrm>
          <a:off x="5057775" y="533400"/>
          <a:ext cx="1857375"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1980/81 - Current    July - June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6</xdr:col>
      <xdr:colOff>628650</xdr:colOff>
      <xdr:row>2</xdr:row>
      <xdr:rowOff>647700</xdr:rowOff>
    </xdr:to>
    <xdr:sp>
      <xdr:nvSpPr>
        <xdr:cNvPr id="1" name="Text 1"/>
        <xdr:cNvSpPr txBox="1">
          <a:spLocks noChangeArrowheads="1"/>
        </xdr:cNvSpPr>
      </xdr:nvSpPr>
      <xdr:spPr>
        <a:xfrm>
          <a:off x="9525" y="533400"/>
          <a:ext cx="4848225" cy="61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Volumetric Allocation Scheme (20W) came into effect on the 1/9/1981.
</a:t>
          </a:r>
        </a:p>
      </xdr:txBody>
    </xdr:sp>
    <xdr:clientData/>
  </xdr:twoCellAnchor>
  <xdr:twoCellAnchor>
    <xdr:from>
      <xdr:col>7</xdr:col>
      <xdr:colOff>0</xdr:colOff>
      <xdr:row>2</xdr:row>
      <xdr:rowOff>28575</xdr:rowOff>
    </xdr:from>
    <xdr:to>
      <xdr:col>7</xdr:col>
      <xdr:colOff>1857375</xdr:colOff>
      <xdr:row>2</xdr:row>
      <xdr:rowOff>657225</xdr:rowOff>
    </xdr:to>
    <xdr:sp>
      <xdr:nvSpPr>
        <xdr:cNvPr id="2" name="Text 3"/>
        <xdr:cNvSpPr txBox="1">
          <a:spLocks noChangeArrowheads="1"/>
        </xdr:cNvSpPr>
      </xdr:nvSpPr>
      <xdr:spPr>
        <a:xfrm>
          <a:off x="5086350" y="533400"/>
          <a:ext cx="1857375"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1982/83 - Current   July - June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6</xdr:col>
      <xdr:colOff>628650</xdr:colOff>
      <xdr:row>2</xdr:row>
      <xdr:rowOff>676275</xdr:rowOff>
    </xdr:to>
    <xdr:sp>
      <xdr:nvSpPr>
        <xdr:cNvPr id="1" name="Text 1"/>
        <xdr:cNvSpPr txBox="1">
          <a:spLocks noChangeArrowheads="1"/>
        </xdr:cNvSpPr>
      </xdr:nvSpPr>
      <xdr:spPr>
        <a:xfrm>
          <a:off x="9525" y="533400"/>
          <a:ext cx="4810125"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official Volumetric Allocation Scheme (20W) was introduced on 1/9/81. A "60ML A/B Priority Scheme" was introduced on 27/8/90. This involves an 'A' component being the first 60ML of entitlement with the remainder of the entitlement making up the 'B' component. It includes the Macintyre River System supplied by Pindari Dam.
</a:t>
          </a:r>
        </a:p>
      </xdr:txBody>
    </xdr:sp>
    <xdr:clientData/>
  </xdr:twoCellAnchor>
  <xdr:twoCellAnchor>
    <xdr:from>
      <xdr:col>7</xdr:col>
      <xdr:colOff>0</xdr:colOff>
      <xdr:row>2</xdr:row>
      <xdr:rowOff>28575</xdr:rowOff>
    </xdr:from>
    <xdr:to>
      <xdr:col>7</xdr:col>
      <xdr:colOff>2476500</xdr:colOff>
      <xdr:row>2</xdr:row>
      <xdr:rowOff>552450</xdr:rowOff>
    </xdr:to>
    <xdr:sp>
      <xdr:nvSpPr>
        <xdr:cNvPr id="2" name="Text 3"/>
        <xdr:cNvSpPr txBox="1">
          <a:spLocks noChangeArrowheads="1"/>
        </xdr:cNvSpPr>
      </xdr:nvSpPr>
      <xdr:spPr>
        <a:xfrm>
          <a:off x="5048250" y="533400"/>
          <a:ext cx="247650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1981/82 - 1985/86   July - June
1986/87 - 1986/87   September - October
1987/88 - Current    October - September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6</xdr:col>
      <xdr:colOff>628650</xdr:colOff>
      <xdr:row>2</xdr:row>
      <xdr:rowOff>647700</xdr:rowOff>
    </xdr:to>
    <xdr:sp>
      <xdr:nvSpPr>
        <xdr:cNvPr id="1" name="Text 1"/>
        <xdr:cNvSpPr txBox="1">
          <a:spLocks noChangeArrowheads="1"/>
        </xdr:cNvSpPr>
      </xdr:nvSpPr>
      <xdr:spPr>
        <a:xfrm>
          <a:off x="9525" y="533400"/>
          <a:ext cx="4867275" cy="61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Volumetric Allocation Scheme (20W) came into effect on the 1/6/2003.
</a:t>
          </a:r>
        </a:p>
      </xdr:txBody>
    </xdr:sp>
    <xdr:clientData/>
  </xdr:twoCellAnchor>
  <xdr:twoCellAnchor>
    <xdr:from>
      <xdr:col>7</xdr:col>
      <xdr:colOff>0</xdr:colOff>
      <xdr:row>2</xdr:row>
      <xdr:rowOff>28575</xdr:rowOff>
    </xdr:from>
    <xdr:to>
      <xdr:col>7</xdr:col>
      <xdr:colOff>1857375</xdr:colOff>
      <xdr:row>2</xdr:row>
      <xdr:rowOff>657225</xdr:rowOff>
    </xdr:to>
    <xdr:sp>
      <xdr:nvSpPr>
        <xdr:cNvPr id="2" name="Text 3"/>
        <xdr:cNvSpPr txBox="1">
          <a:spLocks noChangeArrowheads="1"/>
        </xdr:cNvSpPr>
      </xdr:nvSpPr>
      <xdr:spPr>
        <a:xfrm>
          <a:off x="5105400" y="533400"/>
          <a:ext cx="1857375"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2003/04 - Current   July - June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1990725</xdr:colOff>
      <xdr:row>2</xdr:row>
      <xdr:rowOff>85725</xdr:rowOff>
    </xdr:from>
    <xdr:to>
      <xdr:col>6</xdr:col>
      <xdr:colOff>4467225</xdr:colOff>
      <xdr:row>2</xdr:row>
      <xdr:rowOff>609600</xdr:rowOff>
    </xdr:to>
    <xdr:sp>
      <xdr:nvSpPr>
        <xdr:cNvPr id="1" name="Text 3"/>
        <xdr:cNvSpPr txBox="1">
          <a:spLocks noChangeArrowheads="1"/>
        </xdr:cNvSpPr>
      </xdr:nvSpPr>
      <xdr:spPr>
        <a:xfrm>
          <a:off x="6257925" y="590550"/>
          <a:ext cx="247650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1981/82 - 1985/86   July - June
1986/87 - 1986/87   September - October
1987/88 - Current    October - September</a:t>
          </a:r>
        </a:p>
      </xdr:txBody>
    </xdr:sp>
    <xdr:clientData/>
  </xdr:twoCellAnchor>
  <xdr:twoCellAnchor>
    <xdr:from>
      <xdr:col>0</xdr:col>
      <xdr:colOff>47625</xdr:colOff>
      <xdr:row>2</xdr:row>
      <xdr:rowOff>19050</xdr:rowOff>
    </xdr:from>
    <xdr:to>
      <xdr:col>6</xdr:col>
      <xdr:colOff>1381125</xdr:colOff>
      <xdr:row>3</xdr:row>
      <xdr:rowOff>0</xdr:rowOff>
    </xdr:to>
    <xdr:sp>
      <xdr:nvSpPr>
        <xdr:cNvPr id="2" name="TextBox 7"/>
        <xdr:cNvSpPr txBox="1">
          <a:spLocks noChangeArrowheads="1"/>
        </xdr:cNvSpPr>
      </xdr:nvSpPr>
      <xdr:spPr>
        <a:xfrm>
          <a:off x="47625" y="523875"/>
          <a:ext cx="5600700" cy="1323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official Volumetric Allocation Scheme (20W) was introduced on 01/09/1981. A "60 ML A/B Priority Scheme" was introduced on  10/11/1986. This involves an 'A' cpmponent being the first 60 ML of entitlement with the remainder of the entitlement making up the 'B' component.
</a:t>
          </a:r>
          <a:r>
            <a:rPr lang="en-US" cap="none" sz="1000" b="1" i="0" u="none" baseline="0">
              <a:latin typeface="Arial"/>
              <a:ea typeface="Arial"/>
              <a:cs typeface="Arial"/>
            </a:rPr>
            <a:t>Continuous Accounting - 2001/02 Season</a:t>
          </a:r>
          <a:r>
            <a:rPr lang="en-US" cap="none" sz="1000" b="0" i="0" u="none" baseline="0">
              <a:latin typeface="Arial"/>
              <a:ea typeface="Arial"/>
              <a:cs typeface="Arial"/>
            </a:rPr>
            <a:t>
All irrigators were credited with 100% allocation for 2001/02 season, under a new allocation management system called Continuous Accounting (CA). CA will allow to carryover unused allocation and then receive new allocation up to a combined limit of 100%, but will be limited to a max individual on-allocation usage of 100% during a season.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6</xdr:col>
      <xdr:colOff>628650</xdr:colOff>
      <xdr:row>2</xdr:row>
      <xdr:rowOff>676275</xdr:rowOff>
    </xdr:to>
    <xdr:sp>
      <xdr:nvSpPr>
        <xdr:cNvPr id="1" name="Text 1"/>
        <xdr:cNvSpPr txBox="1">
          <a:spLocks noChangeArrowheads="1"/>
        </xdr:cNvSpPr>
      </xdr:nvSpPr>
      <xdr:spPr>
        <a:xfrm>
          <a:off x="9525" y="533400"/>
          <a:ext cx="4810125"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official Volumetric Allocation Scheme (20W) was introduced on 1/9/81. A "60ML A/B Priority Scheme" was introduced on 10/11/1986. This involves an 'A' component being the first 60ML of entitlement with the remainder of the entitlement making up the 'B' component.
</a:t>
          </a:r>
        </a:p>
      </xdr:txBody>
    </xdr:sp>
    <xdr:clientData/>
  </xdr:twoCellAnchor>
  <xdr:twoCellAnchor>
    <xdr:from>
      <xdr:col>7</xdr:col>
      <xdr:colOff>0</xdr:colOff>
      <xdr:row>2</xdr:row>
      <xdr:rowOff>28575</xdr:rowOff>
    </xdr:from>
    <xdr:to>
      <xdr:col>7</xdr:col>
      <xdr:colOff>2476500</xdr:colOff>
      <xdr:row>2</xdr:row>
      <xdr:rowOff>552450</xdr:rowOff>
    </xdr:to>
    <xdr:sp>
      <xdr:nvSpPr>
        <xdr:cNvPr id="2" name="Text 3"/>
        <xdr:cNvSpPr txBox="1">
          <a:spLocks noChangeArrowheads="1"/>
        </xdr:cNvSpPr>
      </xdr:nvSpPr>
      <xdr:spPr>
        <a:xfrm>
          <a:off x="5048250" y="533400"/>
          <a:ext cx="247650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1981/82 - 1985/86   July - June
1986/87 - 1986/87   September - October
1987/88 - Current    October - September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6</xdr:col>
      <xdr:colOff>628650</xdr:colOff>
      <xdr:row>2</xdr:row>
      <xdr:rowOff>647700</xdr:rowOff>
    </xdr:to>
    <xdr:sp>
      <xdr:nvSpPr>
        <xdr:cNvPr id="1" name="Text 1"/>
        <xdr:cNvSpPr txBox="1">
          <a:spLocks noChangeArrowheads="1"/>
        </xdr:cNvSpPr>
      </xdr:nvSpPr>
      <xdr:spPr>
        <a:xfrm>
          <a:off x="9525" y="533400"/>
          <a:ext cx="4819650" cy="61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Volumetric Allocation Scheme (20W) came into effect on 2/11/1984.
</a:t>
          </a:r>
        </a:p>
      </xdr:txBody>
    </xdr:sp>
    <xdr:clientData/>
  </xdr:twoCellAnchor>
  <xdr:twoCellAnchor>
    <xdr:from>
      <xdr:col>7</xdr:col>
      <xdr:colOff>0</xdr:colOff>
      <xdr:row>2</xdr:row>
      <xdr:rowOff>28575</xdr:rowOff>
    </xdr:from>
    <xdr:to>
      <xdr:col>7</xdr:col>
      <xdr:colOff>1857375</xdr:colOff>
      <xdr:row>2</xdr:row>
      <xdr:rowOff>657225</xdr:rowOff>
    </xdr:to>
    <xdr:sp>
      <xdr:nvSpPr>
        <xdr:cNvPr id="2" name="Text 3"/>
        <xdr:cNvSpPr txBox="1">
          <a:spLocks noChangeArrowheads="1"/>
        </xdr:cNvSpPr>
      </xdr:nvSpPr>
      <xdr:spPr>
        <a:xfrm>
          <a:off x="5210175" y="533400"/>
          <a:ext cx="1857375"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1985/86 - Current   July - June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6</xdr:col>
      <xdr:colOff>628650</xdr:colOff>
      <xdr:row>2</xdr:row>
      <xdr:rowOff>647700</xdr:rowOff>
    </xdr:to>
    <xdr:sp>
      <xdr:nvSpPr>
        <xdr:cNvPr id="1" name="Text 1"/>
        <xdr:cNvSpPr txBox="1">
          <a:spLocks noChangeArrowheads="1"/>
        </xdr:cNvSpPr>
      </xdr:nvSpPr>
      <xdr:spPr>
        <a:xfrm>
          <a:off x="9525" y="533400"/>
          <a:ext cx="4810125" cy="61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official Volumetric Allocation Scheme (20W) was introduced on 1/9/81. This system is fed by Menindee Lakes.
</a:t>
          </a:r>
        </a:p>
      </xdr:txBody>
    </xdr:sp>
    <xdr:clientData/>
  </xdr:twoCellAnchor>
  <xdr:twoCellAnchor>
    <xdr:from>
      <xdr:col>7</xdr:col>
      <xdr:colOff>0</xdr:colOff>
      <xdr:row>2</xdr:row>
      <xdr:rowOff>28575</xdr:rowOff>
    </xdr:from>
    <xdr:to>
      <xdr:col>7</xdr:col>
      <xdr:colOff>1857375</xdr:colOff>
      <xdr:row>2</xdr:row>
      <xdr:rowOff>342900</xdr:rowOff>
    </xdr:to>
    <xdr:sp>
      <xdr:nvSpPr>
        <xdr:cNvPr id="2" name="Text 3"/>
        <xdr:cNvSpPr txBox="1">
          <a:spLocks noChangeArrowheads="1"/>
        </xdr:cNvSpPr>
      </xdr:nvSpPr>
      <xdr:spPr>
        <a:xfrm>
          <a:off x="5048250" y="533400"/>
          <a:ext cx="185737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1981/82 - Current   July - June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6</xdr:col>
      <xdr:colOff>628650</xdr:colOff>
      <xdr:row>2</xdr:row>
      <xdr:rowOff>647700</xdr:rowOff>
    </xdr:to>
    <xdr:sp>
      <xdr:nvSpPr>
        <xdr:cNvPr id="1" name="Text 1"/>
        <xdr:cNvSpPr txBox="1">
          <a:spLocks noChangeArrowheads="1"/>
        </xdr:cNvSpPr>
      </xdr:nvSpPr>
      <xdr:spPr>
        <a:xfrm>
          <a:off x="9525" y="533400"/>
          <a:ext cx="4886325" cy="61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Volumetric Allocation Scheme (20W) came into effect on the 23/11/1984.
</a:t>
          </a:r>
        </a:p>
      </xdr:txBody>
    </xdr:sp>
    <xdr:clientData/>
  </xdr:twoCellAnchor>
  <xdr:twoCellAnchor>
    <xdr:from>
      <xdr:col>7</xdr:col>
      <xdr:colOff>0</xdr:colOff>
      <xdr:row>2</xdr:row>
      <xdr:rowOff>28575</xdr:rowOff>
    </xdr:from>
    <xdr:to>
      <xdr:col>7</xdr:col>
      <xdr:colOff>1857375</xdr:colOff>
      <xdr:row>2</xdr:row>
      <xdr:rowOff>352425</xdr:rowOff>
    </xdr:to>
    <xdr:sp>
      <xdr:nvSpPr>
        <xdr:cNvPr id="2" name="Text 3"/>
        <xdr:cNvSpPr txBox="1">
          <a:spLocks noChangeArrowheads="1"/>
        </xdr:cNvSpPr>
      </xdr:nvSpPr>
      <xdr:spPr>
        <a:xfrm>
          <a:off x="5124450" y="533400"/>
          <a:ext cx="1857375"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1985/86 - Current   July - June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19050</xdr:rowOff>
    </xdr:from>
    <xdr:to>
      <xdr:col>6</xdr:col>
      <xdr:colOff>1476375</xdr:colOff>
      <xdr:row>2</xdr:row>
      <xdr:rowOff>1371600</xdr:rowOff>
    </xdr:to>
    <xdr:sp>
      <xdr:nvSpPr>
        <xdr:cNvPr id="1" name="Text 1"/>
        <xdr:cNvSpPr txBox="1">
          <a:spLocks noChangeArrowheads="1"/>
        </xdr:cNvSpPr>
      </xdr:nvSpPr>
      <xdr:spPr>
        <a:xfrm>
          <a:off x="47625" y="523875"/>
          <a:ext cx="5629275" cy="1352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Voluntary allocation scheme was introduced on 18/3/81 due to a shortage of resources. The official Allocation Scheme (20W) was introduced on the 1/9/81. The Gwydir System also includes the Mehi River and Moomin and Carole Creek Systems.
</a:t>
          </a:r>
          <a:r>
            <a:rPr lang="en-US" cap="none" sz="1000" b="1" i="0" u="sng" baseline="0">
              <a:latin typeface="Arial"/>
              <a:ea typeface="Arial"/>
              <a:cs typeface="Arial"/>
            </a:rPr>
            <a:t>Continuous Accounting - 1998/99 Season</a:t>
          </a:r>
          <a:r>
            <a:rPr lang="en-US" cap="none" sz="1000" b="0" i="0" u="none" baseline="0">
              <a:latin typeface="Arial"/>
              <a:ea typeface="Arial"/>
              <a:cs typeface="Arial"/>
            </a:rPr>
            <a:t>
All irrigators were credited with 150% allocation for 98/99 season, under a new allocation management system called Continuous Accounting (CA). CA will allow to carryover unused allocation and then receive new allocation up to a combined limit of 150%, but will be limited to a max individual on-allocation usage of 100% during a season.
</a:t>
          </a:r>
        </a:p>
      </xdr:txBody>
    </xdr:sp>
    <xdr:clientData/>
  </xdr:twoCellAnchor>
  <xdr:twoCellAnchor>
    <xdr:from>
      <xdr:col>6</xdr:col>
      <xdr:colOff>1828800</xdr:colOff>
      <xdr:row>2</xdr:row>
      <xdr:rowOff>57150</xdr:rowOff>
    </xdr:from>
    <xdr:to>
      <xdr:col>6</xdr:col>
      <xdr:colOff>4276725</xdr:colOff>
      <xdr:row>2</xdr:row>
      <xdr:rowOff>876300</xdr:rowOff>
    </xdr:to>
    <xdr:sp>
      <xdr:nvSpPr>
        <xdr:cNvPr id="2" name="Text 4"/>
        <xdr:cNvSpPr txBox="1">
          <a:spLocks noChangeArrowheads="1"/>
        </xdr:cNvSpPr>
      </xdr:nvSpPr>
      <xdr:spPr>
        <a:xfrm>
          <a:off x="6029325" y="561975"/>
          <a:ext cx="2447925" cy="819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1980/81 - 1986/87   July - June
1987/88 - 2001/02   October - September
2002/03 Season      October - June
2003/04 - Current     July - June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6</xdr:col>
      <xdr:colOff>895350</xdr:colOff>
      <xdr:row>2</xdr:row>
      <xdr:rowOff>1466850</xdr:rowOff>
    </xdr:to>
    <xdr:sp>
      <xdr:nvSpPr>
        <xdr:cNvPr id="1" name="Text 1"/>
        <xdr:cNvSpPr txBox="1">
          <a:spLocks noChangeArrowheads="1"/>
        </xdr:cNvSpPr>
      </xdr:nvSpPr>
      <xdr:spPr>
        <a:xfrm>
          <a:off x="9525" y="533400"/>
          <a:ext cx="5086350" cy="1438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Voluntary allocation scheme was introduced on 18/3/81 due to a shortage of resources. The official Allocation Scheme (20W) was introduced on the 1/9/81. The Gwydir System also includes the Mehi River and Moomin and Carole Creek Systems.
</a:t>
          </a:r>
          <a:r>
            <a:rPr lang="en-US" cap="none" sz="1000" b="1" i="0" u="sng" baseline="0">
              <a:latin typeface="Arial"/>
              <a:ea typeface="Arial"/>
              <a:cs typeface="Arial"/>
            </a:rPr>
            <a:t>Continuous Accounting - 1998/99 Season</a:t>
          </a:r>
          <a:r>
            <a:rPr lang="en-US" cap="none" sz="1000" b="0" i="0" u="none" baseline="0">
              <a:latin typeface="Arial"/>
              <a:ea typeface="Arial"/>
              <a:cs typeface="Arial"/>
            </a:rPr>
            <a:t>
All irrigators were credited with 150% allocation for 98/99 season, under a new allocation management system called Continuous Accounting (CA). CA will allow to carryover unused allocation and then receive new allocation up to a combined limit of 150%, but will be limited to a max individual on-allocation usage of 100% during a season.
</a:t>
          </a:r>
        </a:p>
      </xdr:txBody>
    </xdr:sp>
    <xdr:clientData/>
  </xdr:twoCellAnchor>
  <xdr:twoCellAnchor>
    <xdr:from>
      <xdr:col>7</xdr:col>
      <xdr:colOff>38100</xdr:colOff>
      <xdr:row>2</xdr:row>
      <xdr:rowOff>28575</xdr:rowOff>
    </xdr:from>
    <xdr:to>
      <xdr:col>7</xdr:col>
      <xdr:colOff>2486025</xdr:colOff>
      <xdr:row>2</xdr:row>
      <xdr:rowOff>847725</xdr:rowOff>
    </xdr:to>
    <xdr:sp>
      <xdr:nvSpPr>
        <xdr:cNvPr id="2" name="Text 4"/>
        <xdr:cNvSpPr txBox="1">
          <a:spLocks noChangeArrowheads="1"/>
        </xdr:cNvSpPr>
      </xdr:nvSpPr>
      <xdr:spPr>
        <a:xfrm>
          <a:off x="5248275" y="533400"/>
          <a:ext cx="2447925" cy="819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1980/81 - 1986/87   July - June
1987/88 - 2001/02   October - September
2002/03 Season      October - June
2003/04 - Current     July - June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aterinfo.nsw.gov.au/RIVOPS\REGIONAL\MURRAY\MurrayValley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MIL"/>
      <sheetName val="Murra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64"/>
  <sheetViews>
    <sheetView showGridLines="0" workbookViewId="0" topLeftCell="A1">
      <selection activeCell="L50" sqref="L50"/>
    </sheetView>
  </sheetViews>
  <sheetFormatPr defaultColWidth="9.140625" defaultRowHeight="12.75"/>
  <cols>
    <col min="1" max="1" width="9.140625" style="14" customWidth="1"/>
    <col min="2" max="2" width="10.140625" style="17" customWidth="1"/>
    <col min="3" max="3" width="10.00390625" style="17" customWidth="1"/>
    <col min="4" max="4" width="11.00390625" style="17" customWidth="1"/>
    <col min="5" max="5" width="11.421875" style="17" customWidth="1"/>
    <col min="6" max="6" width="11.7109375" style="16" customWidth="1"/>
    <col min="7" max="7" width="12.8515625" style="17" customWidth="1"/>
    <col min="8" max="8" width="54.140625" style="0" customWidth="1"/>
  </cols>
  <sheetData>
    <row r="1" spans="1:8" ht="24" customHeight="1" thickBot="1">
      <c r="A1" s="36" t="s">
        <v>79</v>
      </c>
      <c r="B1" s="2"/>
      <c r="C1" s="22"/>
      <c r="D1" s="22"/>
      <c r="E1" s="22"/>
      <c r="F1" s="137"/>
      <c r="G1" s="2"/>
      <c r="H1" s="3"/>
    </row>
    <row r="2" spans="1:8" ht="15.75" customHeight="1" thickBot="1">
      <c r="A2" s="29" t="s">
        <v>80</v>
      </c>
      <c r="B2" s="33"/>
      <c r="C2" s="34"/>
      <c r="D2" s="34"/>
      <c r="E2" s="34"/>
      <c r="F2" s="138"/>
      <c r="G2" s="33"/>
      <c r="H2" s="38" t="s">
        <v>81</v>
      </c>
    </row>
    <row r="3" spans="1:8" ht="54" customHeight="1" thickBot="1">
      <c r="A3" s="6"/>
      <c r="B3" s="2"/>
      <c r="C3" s="2"/>
      <c r="D3" s="2"/>
      <c r="E3" s="2"/>
      <c r="F3" s="137"/>
      <c r="G3" s="2"/>
      <c r="H3" s="3"/>
    </row>
    <row r="4" spans="1:8" ht="15.75" customHeight="1" thickBot="1">
      <c r="A4" s="29" t="s">
        <v>82</v>
      </c>
      <c r="B4" s="33"/>
      <c r="C4" s="34"/>
      <c r="D4" s="34"/>
      <c r="E4" s="34"/>
      <c r="F4" s="138"/>
      <c r="G4" s="33"/>
      <c r="H4" s="38"/>
    </row>
    <row r="5" spans="1:8" s="5" customFormat="1" ht="24">
      <c r="A5" s="39"/>
      <c r="B5" s="40" t="s">
        <v>83</v>
      </c>
      <c r="C5" s="41" t="s">
        <v>84</v>
      </c>
      <c r="D5" s="41" t="s">
        <v>85</v>
      </c>
      <c r="E5" s="51" t="s">
        <v>213</v>
      </c>
      <c r="F5" s="139"/>
      <c r="G5" s="42" t="s">
        <v>86</v>
      </c>
      <c r="H5" s="43"/>
    </row>
    <row r="6" spans="1:8" s="5" customFormat="1" ht="23.25" customHeight="1" thickBot="1">
      <c r="A6" s="44" t="s">
        <v>87</v>
      </c>
      <c r="B6" s="45" t="s">
        <v>86</v>
      </c>
      <c r="C6" s="46" t="s">
        <v>86</v>
      </c>
      <c r="D6" s="46" t="s">
        <v>88</v>
      </c>
      <c r="E6" s="49" t="s">
        <v>214</v>
      </c>
      <c r="F6" s="140" t="s">
        <v>215</v>
      </c>
      <c r="G6" s="47" t="s">
        <v>89</v>
      </c>
      <c r="H6" s="48" t="s">
        <v>90</v>
      </c>
    </row>
    <row r="7" spans="1:8" ht="15.75" customHeight="1">
      <c r="A7" s="56" t="s">
        <v>91</v>
      </c>
      <c r="B7" s="57">
        <v>29910</v>
      </c>
      <c r="C7" s="130">
        <v>0.75</v>
      </c>
      <c r="D7" s="130">
        <v>0</v>
      </c>
      <c r="E7" s="59"/>
      <c r="F7" s="60"/>
      <c r="G7" s="60" t="s">
        <v>92</v>
      </c>
      <c r="H7" s="61"/>
    </row>
    <row r="8" spans="1:8" ht="15.75" customHeight="1" thickBot="1">
      <c r="A8" s="68"/>
      <c r="B8" s="69">
        <v>30001</v>
      </c>
      <c r="C8" s="286">
        <v>1</v>
      </c>
      <c r="D8" s="286">
        <v>0</v>
      </c>
      <c r="E8" s="71"/>
      <c r="F8" s="72"/>
      <c r="G8" s="72" t="s">
        <v>92</v>
      </c>
      <c r="H8" s="73"/>
    </row>
    <row r="9" spans="1:8" ht="15.75" customHeight="1">
      <c r="A9" s="56" t="s">
        <v>93</v>
      </c>
      <c r="B9" s="57">
        <v>30155</v>
      </c>
      <c r="C9" s="130">
        <v>0.4</v>
      </c>
      <c r="D9" s="130">
        <v>0</v>
      </c>
      <c r="E9" s="59"/>
      <c r="F9" s="60"/>
      <c r="G9" s="60" t="s">
        <v>92</v>
      </c>
      <c r="H9" s="61"/>
    </row>
    <row r="10" spans="1:8" ht="15.75" customHeight="1" thickBot="1">
      <c r="A10" s="68"/>
      <c r="B10" s="69">
        <v>30328</v>
      </c>
      <c r="C10" s="130">
        <v>0</v>
      </c>
      <c r="D10" s="130">
        <v>0</v>
      </c>
      <c r="E10" s="71"/>
      <c r="F10" s="72"/>
      <c r="G10" s="72" t="s">
        <v>92</v>
      </c>
      <c r="H10" s="73" t="s">
        <v>94</v>
      </c>
    </row>
    <row r="11" spans="1:8" ht="15.75" customHeight="1">
      <c r="A11" s="56" t="s">
        <v>95</v>
      </c>
      <c r="B11" s="57">
        <v>30519</v>
      </c>
      <c r="C11" s="141">
        <v>0</v>
      </c>
      <c r="D11" s="141">
        <v>0</v>
      </c>
      <c r="E11" s="59"/>
      <c r="F11" s="60"/>
      <c r="G11" s="60" t="s">
        <v>92</v>
      </c>
      <c r="H11" s="61"/>
    </row>
    <row r="12" spans="1:8" ht="15.75" customHeight="1">
      <c r="A12" s="62"/>
      <c r="B12" s="63">
        <v>30655</v>
      </c>
      <c r="C12" s="130">
        <v>0.1</v>
      </c>
      <c r="D12" s="130">
        <v>0</v>
      </c>
      <c r="E12" s="65"/>
      <c r="F12" s="66"/>
      <c r="G12" s="66" t="s">
        <v>92</v>
      </c>
      <c r="H12" s="67"/>
    </row>
    <row r="13" spans="1:8" ht="15.75" customHeight="1">
      <c r="A13" s="62"/>
      <c r="B13" s="63">
        <v>30672</v>
      </c>
      <c r="C13" s="130">
        <v>0.15</v>
      </c>
      <c r="D13" s="130">
        <v>0</v>
      </c>
      <c r="E13" s="65"/>
      <c r="F13" s="66"/>
      <c r="G13" s="66" t="s">
        <v>92</v>
      </c>
      <c r="H13" s="67"/>
    </row>
    <row r="14" spans="1:8" ht="15.75" customHeight="1" thickBot="1">
      <c r="A14" s="68"/>
      <c r="B14" s="69">
        <v>30727</v>
      </c>
      <c r="C14" s="143">
        <v>0.6</v>
      </c>
      <c r="D14" s="143">
        <v>0</v>
      </c>
      <c r="E14" s="71"/>
      <c r="F14" s="72"/>
      <c r="G14" s="72" t="s">
        <v>92</v>
      </c>
      <c r="H14" s="73"/>
    </row>
    <row r="15" spans="1:8" ht="15.75" customHeight="1">
      <c r="A15" s="56" t="s">
        <v>96</v>
      </c>
      <c r="B15" s="57">
        <v>30902</v>
      </c>
      <c r="C15" s="130">
        <v>0.75</v>
      </c>
      <c r="D15" s="130">
        <v>0</v>
      </c>
      <c r="E15" s="59"/>
      <c r="F15" s="60"/>
      <c r="G15" s="60" t="s">
        <v>92</v>
      </c>
      <c r="H15" s="61"/>
    </row>
    <row r="16" spans="1:8" ht="15.75" customHeight="1" thickBot="1">
      <c r="A16" s="68"/>
      <c r="B16" s="69">
        <v>30937</v>
      </c>
      <c r="C16" s="130">
        <v>1</v>
      </c>
      <c r="D16" s="130">
        <v>0</v>
      </c>
      <c r="E16" s="71"/>
      <c r="F16" s="72"/>
      <c r="G16" s="72" t="s">
        <v>92</v>
      </c>
      <c r="H16" s="73"/>
    </row>
    <row r="17" spans="1:8" ht="15.75" customHeight="1" thickBot="1">
      <c r="A17" s="74" t="s">
        <v>97</v>
      </c>
      <c r="B17" s="75">
        <v>31247</v>
      </c>
      <c r="C17" s="287">
        <v>1</v>
      </c>
      <c r="D17" s="179">
        <v>0</v>
      </c>
      <c r="E17" s="77"/>
      <c r="F17" s="78"/>
      <c r="G17" s="78" t="s">
        <v>92</v>
      </c>
      <c r="H17" s="79"/>
    </row>
    <row r="18" spans="1:8" ht="15.75" customHeight="1">
      <c r="A18" s="56" t="s">
        <v>98</v>
      </c>
      <c r="B18" s="57">
        <v>31623</v>
      </c>
      <c r="C18" s="130">
        <v>0.7</v>
      </c>
      <c r="D18" s="130">
        <v>0</v>
      </c>
      <c r="E18" s="59"/>
      <c r="F18" s="60"/>
      <c r="G18" s="60" t="s">
        <v>92</v>
      </c>
      <c r="H18" s="61"/>
    </row>
    <row r="19" spans="1:8" ht="15.75" customHeight="1">
      <c r="A19" s="62"/>
      <c r="B19" s="63">
        <v>31650</v>
      </c>
      <c r="C19" s="130">
        <v>0.85</v>
      </c>
      <c r="D19" s="130">
        <v>0</v>
      </c>
      <c r="E19" s="65"/>
      <c r="F19" s="66"/>
      <c r="G19" s="66" t="s">
        <v>92</v>
      </c>
      <c r="H19" s="67"/>
    </row>
    <row r="20" spans="1:8" ht="15.75" customHeight="1" thickBot="1">
      <c r="A20" s="68"/>
      <c r="B20" s="69">
        <v>31688</v>
      </c>
      <c r="C20" s="143">
        <v>1</v>
      </c>
      <c r="D20" s="143">
        <v>0</v>
      </c>
      <c r="E20" s="71"/>
      <c r="F20" s="72"/>
      <c r="G20" s="72" t="s">
        <v>92</v>
      </c>
      <c r="H20" s="73"/>
    </row>
    <row r="21" spans="1:8" ht="15.75" customHeight="1" thickBot="1">
      <c r="A21" s="74" t="s">
        <v>99</v>
      </c>
      <c r="B21" s="75">
        <v>31971</v>
      </c>
      <c r="C21" s="159">
        <v>1</v>
      </c>
      <c r="D21" s="159">
        <v>0</v>
      </c>
      <c r="E21" s="77"/>
      <c r="F21" s="78"/>
      <c r="G21" s="78" t="s">
        <v>92</v>
      </c>
      <c r="H21" s="79"/>
    </row>
    <row r="22" spans="1:8" ht="15.75" customHeight="1">
      <c r="A22" s="56" t="s">
        <v>100</v>
      </c>
      <c r="B22" s="57">
        <v>32342</v>
      </c>
      <c r="C22" s="159">
        <v>0.9</v>
      </c>
      <c r="D22" s="159">
        <v>0</v>
      </c>
      <c r="E22" s="59"/>
      <c r="F22" s="60"/>
      <c r="G22" s="60" t="s">
        <v>92</v>
      </c>
      <c r="H22" s="61"/>
    </row>
    <row r="23" spans="1:8" ht="15.75" customHeight="1" thickBot="1">
      <c r="A23" s="68"/>
      <c r="B23" s="69">
        <v>32427</v>
      </c>
      <c r="C23" s="130">
        <v>1</v>
      </c>
      <c r="D23" s="130">
        <v>0</v>
      </c>
      <c r="E23" s="71"/>
      <c r="F23" s="72"/>
      <c r="G23" s="72" t="s">
        <v>92</v>
      </c>
      <c r="H23" s="73"/>
    </row>
    <row r="24" spans="1:8" ht="15.75" customHeight="1" thickBot="1">
      <c r="A24" s="74" t="s">
        <v>101</v>
      </c>
      <c r="B24" s="75">
        <v>32720</v>
      </c>
      <c r="C24" s="159">
        <v>1</v>
      </c>
      <c r="D24" s="159">
        <v>0</v>
      </c>
      <c r="E24" s="77"/>
      <c r="F24" s="78"/>
      <c r="G24" s="78" t="s">
        <v>92</v>
      </c>
      <c r="H24" s="79"/>
    </row>
    <row r="25" spans="1:8" ht="15.75" customHeight="1" thickBot="1">
      <c r="A25" s="74" t="s">
        <v>102</v>
      </c>
      <c r="B25" s="75">
        <v>33108</v>
      </c>
      <c r="C25" s="159">
        <v>1</v>
      </c>
      <c r="D25" s="159">
        <v>0</v>
      </c>
      <c r="E25" s="77"/>
      <c r="F25" s="78"/>
      <c r="G25" s="78" t="s">
        <v>92</v>
      </c>
      <c r="H25" s="79"/>
    </row>
    <row r="26" spans="1:8" ht="15.75" customHeight="1" thickBot="1">
      <c r="A26" s="74" t="s">
        <v>103</v>
      </c>
      <c r="B26" s="75">
        <v>33445</v>
      </c>
      <c r="C26" s="159">
        <v>1</v>
      </c>
      <c r="D26" s="159">
        <v>0</v>
      </c>
      <c r="E26" s="77"/>
      <c r="F26" s="78"/>
      <c r="G26" s="78" t="s">
        <v>104</v>
      </c>
      <c r="H26" s="79"/>
    </row>
    <row r="27" spans="1:8" ht="15.75" customHeight="1" thickBot="1">
      <c r="A27" s="74" t="s">
        <v>105</v>
      </c>
      <c r="B27" s="75">
        <v>33788</v>
      </c>
      <c r="C27" s="159">
        <v>1</v>
      </c>
      <c r="D27" s="159">
        <v>0</v>
      </c>
      <c r="E27" s="77"/>
      <c r="F27" s="78"/>
      <c r="G27" s="78" t="s">
        <v>104</v>
      </c>
      <c r="H27" s="79"/>
    </row>
    <row r="28" spans="1:8" ht="15.75" customHeight="1" thickBot="1">
      <c r="A28" s="74" t="s">
        <v>106</v>
      </c>
      <c r="B28" s="75">
        <v>34162</v>
      </c>
      <c r="C28" s="159">
        <v>1</v>
      </c>
      <c r="D28" s="159">
        <v>0</v>
      </c>
      <c r="E28" s="77"/>
      <c r="F28" s="78"/>
      <c r="G28" s="78" t="s">
        <v>107</v>
      </c>
      <c r="H28" s="79"/>
    </row>
    <row r="29" spans="1:8" ht="15.75" customHeight="1" thickBot="1">
      <c r="A29" s="74" t="s">
        <v>108</v>
      </c>
      <c r="B29" s="75">
        <v>34564</v>
      </c>
      <c r="C29" s="159">
        <v>1</v>
      </c>
      <c r="D29" s="159">
        <v>0</v>
      </c>
      <c r="E29" s="77"/>
      <c r="F29" s="78"/>
      <c r="G29" s="78" t="s">
        <v>104</v>
      </c>
      <c r="H29" s="79"/>
    </row>
    <row r="30" spans="1:8" ht="15.75" customHeight="1" thickBot="1">
      <c r="A30" s="74" t="s">
        <v>109</v>
      </c>
      <c r="B30" s="75">
        <v>34913</v>
      </c>
      <c r="C30" s="159">
        <v>1</v>
      </c>
      <c r="D30" s="159">
        <v>0</v>
      </c>
      <c r="E30" s="77"/>
      <c r="F30" s="78"/>
      <c r="G30" s="78" t="s">
        <v>104</v>
      </c>
      <c r="H30" s="79"/>
    </row>
    <row r="31" spans="1:8" ht="15.75" customHeight="1" thickBot="1">
      <c r="A31" s="56" t="s">
        <v>110</v>
      </c>
      <c r="B31" s="57">
        <v>35286</v>
      </c>
      <c r="C31" s="159">
        <v>0.8</v>
      </c>
      <c r="D31" s="159">
        <v>0</v>
      </c>
      <c r="E31" s="159">
        <v>0.2</v>
      </c>
      <c r="F31" s="78"/>
      <c r="G31" s="60" t="s">
        <v>111</v>
      </c>
      <c r="H31" s="61"/>
    </row>
    <row r="32" spans="1:8" ht="15.75" customHeight="1" thickBot="1">
      <c r="A32" s="74" t="s">
        <v>112</v>
      </c>
      <c r="B32" s="75">
        <v>35612</v>
      </c>
      <c r="C32" s="159">
        <v>0.45</v>
      </c>
      <c r="D32" s="159">
        <v>0</v>
      </c>
      <c r="E32" s="159">
        <v>0.2</v>
      </c>
      <c r="F32" s="78"/>
      <c r="G32" s="78" t="s">
        <v>111</v>
      </c>
      <c r="H32" s="79"/>
    </row>
    <row r="33" spans="1:8" ht="15.75" customHeight="1" thickBot="1">
      <c r="A33" s="74" t="s">
        <v>113</v>
      </c>
      <c r="B33" s="75">
        <v>36063</v>
      </c>
      <c r="C33" s="159">
        <v>0.85</v>
      </c>
      <c r="D33" s="159">
        <v>0</v>
      </c>
      <c r="E33" s="77" t="s">
        <v>212</v>
      </c>
      <c r="F33" s="78"/>
      <c r="G33" s="78" t="s">
        <v>111</v>
      </c>
      <c r="H33" s="79"/>
    </row>
    <row r="34" spans="1:8" ht="15.75" customHeight="1">
      <c r="A34" s="147" t="s">
        <v>183</v>
      </c>
      <c r="B34" s="7">
        <v>36385</v>
      </c>
      <c r="C34" s="168">
        <v>0.65</v>
      </c>
      <c r="D34" s="159">
        <v>0</v>
      </c>
      <c r="E34" s="159">
        <v>0.3</v>
      </c>
      <c r="F34" s="159">
        <v>0.15</v>
      </c>
      <c r="G34" s="9" t="s">
        <v>111</v>
      </c>
      <c r="H34" s="120"/>
    </row>
    <row r="35" spans="1:8" ht="15.75" customHeight="1" thickBot="1">
      <c r="A35" s="158"/>
      <c r="B35" s="15">
        <v>36570</v>
      </c>
      <c r="C35" s="157">
        <v>1</v>
      </c>
      <c r="D35" s="157">
        <v>0</v>
      </c>
      <c r="E35" s="157">
        <v>0.3</v>
      </c>
      <c r="F35" s="157">
        <v>0</v>
      </c>
      <c r="G35" s="17" t="s">
        <v>111</v>
      </c>
      <c r="H35" s="151"/>
    </row>
    <row r="36" spans="1:8" ht="15.75" customHeight="1">
      <c r="A36" s="147" t="s">
        <v>234</v>
      </c>
      <c r="B36" s="7">
        <v>36749</v>
      </c>
      <c r="C36" s="159">
        <v>0.87</v>
      </c>
      <c r="D36" s="159">
        <v>0</v>
      </c>
      <c r="E36" s="159">
        <v>0.3</v>
      </c>
      <c r="F36" s="159">
        <v>0.13</v>
      </c>
      <c r="G36" s="9" t="s">
        <v>111</v>
      </c>
      <c r="H36" s="120"/>
    </row>
    <row r="37" spans="1:8" ht="13.5" thickBot="1">
      <c r="A37" s="148"/>
      <c r="B37" s="11">
        <v>36864</v>
      </c>
      <c r="C37" s="146">
        <v>1</v>
      </c>
      <c r="D37" s="146">
        <v>0</v>
      </c>
      <c r="E37" s="146">
        <v>0.3</v>
      </c>
      <c r="F37" s="146">
        <v>0</v>
      </c>
      <c r="G37" s="13" t="s">
        <v>111</v>
      </c>
      <c r="H37" s="121"/>
    </row>
    <row r="38" spans="1:8" ht="12.75">
      <c r="A38" s="193" t="s">
        <v>3</v>
      </c>
      <c r="B38" s="15">
        <v>37092</v>
      </c>
      <c r="C38" s="157">
        <v>0.23</v>
      </c>
      <c r="D38" s="157">
        <v>0</v>
      </c>
      <c r="E38" s="157">
        <v>0.5</v>
      </c>
      <c r="F38" s="157">
        <v>0.23</v>
      </c>
      <c r="G38" s="17" t="s">
        <v>111</v>
      </c>
      <c r="H38" s="120"/>
    </row>
    <row r="39" spans="1:8" ht="13.5" thickBot="1">
      <c r="A39" s="148"/>
      <c r="B39" s="11">
        <v>37196</v>
      </c>
      <c r="C39" s="146">
        <v>0.69</v>
      </c>
      <c r="D39" s="146">
        <v>0</v>
      </c>
      <c r="E39" s="146">
        <v>0.5</v>
      </c>
      <c r="F39" s="146">
        <v>0.23</v>
      </c>
      <c r="G39" s="13" t="s">
        <v>111</v>
      </c>
      <c r="H39" s="151"/>
    </row>
    <row r="40" spans="1:8" ht="12.75">
      <c r="A40" s="193" t="s">
        <v>10</v>
      </c>
      <c r="B40" s="15">
        <v>37467</v>
      </c>
      <c r="C40" s="157">
        <v>0.48</v>
      </c>
      <c r="D40" s="157">
        <v>0</v>
      </c>
      <c r="E40" s="157">
        <v>0.5</v>
      </c>
      <c r="F40" s="157">
        <v>0.27</v>
      </c>
      <c r="G40" s="17" t="s">
        <v>111</v>
      </c>
      <c r="H40" s="120"/>
    </row>
    <row r="41" spans="1:8" ht="13.5" thickBot="1">
      <c r="A41" s="148"/>
      <c r="B41" s="11"/>
      <c r="C41" s="146"/>
      <c r="D41" s="146"/>
      <c r="E41" s="146"/>
      <c r="F41" s="146"/>
      <c r="G41" s="13"/>
      <c r="H41" s="151"/>
    </row>
    <row r="42" spans="1:8" ht="12.75">
      <c r="A42" s="147" t="s">
        <v>13</v>
      </c>
      <c r="B42" s="7">
        <v>37806</v>
      </c>
      <c r="C42" s="157">
        <v>0</v>
      </c>
      <c r="D42" s="157">
        <v>0</v>
      </c>
      <c r="E42" s="157">
        <v>0.5</v>
      </c>
      <c r="F42" s="157">
        <v>0.3</v>
      </c>
      <c r="G42" s="9" t="s">
        <v>15</v>
      </c>
      <c r="H42" s="120" t="s">
        <v>16</v>
      </c>
    </row>
    <row r="43" spans="1:8" ht="13.5" thickBot="1">
      <c r="A43" s="148"/>
      <c r="B43" s="13"/>
      <c r="C43" s="13"/>
      <c r="D43" s="13"/>
      <c r="E43" s="13"/>
      <c r="F43" s="12"/>
      <c r="G43" s="13"/>
      <c r="H43" s="121"/>
    </row>
    <row r="44" spans="1:8" ht="12.75">
      <c r="A44" s="147" t="s">
        <v>43</v>
      </c>
      <c r="B44" s="7">
        <v>38243</v>
      </c>
      <c r="C44" s="168">
        <v>0</v>
      </c>
      <c r="D44" s="159">
        <v>0</v>
      </c>
      <c r="E44" s="159">
        <v>0.5</v>
      </c>
      <c r="F44" s="159">
        <v>0.14</v>
      </c>
      <c r="G44" s="9" t="s">
        <v>15</v>
      </c>
      <c r="H44" s="120" t="s">
        <v>46</v>
      </c>
    </row>
    <row r="45" spans="1:8" ht="13.5" thickBot="1">
      <c r="A45" s="148"/>
      <c r="B45" s="13"/>
      <c r="C45" s="13"/>
      <c r="D45" s="13"/>
      <c r="E45" s="13"/>
      <c r="F45" s="12"/>
      <c r="G45" s="13"/>
      <c r="H45" s="121"/>
    </row>
    <row r="46" spans="1:8" ht="12.75">
      <c r="A46" s="147" t="s">
        <v>48</v>
      </c>
      <c r="B46" s="7">
        <v>38534</v>
      </c>
      <c r="C46" s="159">
        <v>0</v>
      </c>
      <c r="D46" s="159">
        <v>0</v>
      </c>
      <c r="E46" s="159">
        <v>0.5</v>
      </c>
      <c r="F46" s="159">
        <v>0</v>
      </c>
      <c r="G46" s="9" t="s">
        <v>15</v>
      </c>
      <c r="H46" s="120" t="s">
        <v>46</v>
      </c>
    </row>
    <row r="47" spans="1:8" ht="12.75">
      <c r="A47" s="158"/>
      <c r="H47" s="151"/>
    </row>
    <row r="48" spans="1:8" ht="13.5" thickBot="1">
      <c r="A48" s="148"/>
      <c r="B48" s="13"/>
      <c r="C48" s="13"/>
      <c r="D48" s="13"/>
      <c r="E48" s="13"/>
      <c r="F48" s="12"/>
      <c r="G48" s="13"/>
      <c r="H48" s="121"/>
    </row>
    <row r="49" spans="1:8" ht="12.75">
      <c r="A49" s="147" t="s">
        <v>51</v>
      </c>
      <c r="B49" s="7">
        <v>38899</v>
      </c>
      <c r="C49" s="159">
        <v>0</v>
      </c>
      <c r="D49" s="159">
        <v>0</v>
      </c>
      <c r="E49" s="159"/>
      <c r="F49" s="159">
        <v>0</v>
      </c>
      <c r="G49" s="9" t="s">
        <v>15</v>
      </c>
      <c r="H49" s="120" t="s">
        <v>14</v>
      </c>
    </row>
    <row r="50" spans="1:8" ht="12.75">
      <c r="A50" s="158"/>
      <c r="H50" s="151"/>
    </row>
    <row r="51" spans="1:8" ht="13.5" thickBot="1">
      <c r="A51" s="148"/>
      <c r="B51" s="13"/>
      <c r="C51" s="13"/>
      <c r="D51" s="13"/>
      <c r="E51" s="13"/>
      <c r="F51" s="12"/>
      <c r="G51" s="13"/>
      <c r="H51" s="121"/>
    </row>
    <row r="52" spans="1:8" ht="12.75">
      <c r="A52" s="147" t="s">
        <v>71</v>
      </c>
      <c r="B52" s="7">
        <v>39342</v>
      </c>
      <c r="C52" s="159">
        <v>0</v>
      </c>
      <c r="D52" s="159">
        <v>0</v>
      </c>
      <c r="E52" s="159"/>
      <c r="F52" s="159">
        <v>0</v>
      </c>
      <c r="G52" s="9" t="s">
        <v>73</v>
      </c>
      <c r="H52" s="120" t="s">
        <v>14</v>
      </c>
    </row>
    <row r="53" spans="1:8" ht="12.75">
      <c r="A53" s="158"/>
      <c r="B53" s="15">
        <v>39434</v>
      </c>
      <c r="C53" s="150">
        <v>0</v>
      </c>
      <c r="D53" s="150">
        <v>0</v>
      </c>
      <c r="F53" s="150">
        <v>0</v>
      </c>
      <c r="G53" s="17" t="s">
        <v>73</v>
      </c>
      <c r="H53" s="151" t="s">
        <v>16</v>
      </c>
    </row>
    <row r="54" spans="1:8" ht="13.5" thickBot="1">
      <c r="A54" s="148"/>
      <c r="B54" s="13"/>
      <c r="C54" s="13"/>
      <c r="D54" s="13"/>
      <c r="E54" s="13"/>
      <c r="F54" s="12"/>
      <c r="G54" s="13"/>
      <c r="H54" s="121"/>
    </row>
    <row r="55" spans="1:8" ht="12.75">
      <c r="A55" s="147" t="s">
        <v>76</v>
      </c>
      <c r="B55" s="7">
        <v>39630</v>
      </c>
      <c r="C55" s="159">
        <v>0</v>
      </c>
      <c r="D55" s="159">
        <v>0</v>
      </c>
      <c r="E55" s="159"/>
      <c r="F55" s="159">
        <v>0</v>
      </c>
      <c r="G55" s="9" t="s">
        <v>73</v>
      </c>
      <c r="H55" s="120" t="s">
        <v>14</v>
      </c>
    </row>
    <row r="56" spans="1:8" ht="13.5" thickBot="1">
      <c r="A56" s="148"/>
      <c r="B56" s="11">
        <v>39864</v>
      </c>
      <c r="C56" s="153">
        <v>0</v>
      </c>
      <c r="D56" s="153">
        <v>0</v>
      </c>
      <c r="E56" s="13"/>
      <c r="F56" s="153">
        <v>0</v>
      </c>
      <c r="G56" s="13" t="s">
        <v>73</v>
      </c>
      <c r="H56" s="121" t="s">
        <v>16</v>
      </c>
    </row>
    <row r="57" spans="1:8" s="304" customFormat="1" ht="12.75">
      <c r="A57" s="181" t="s">
        <v>78</v>
      </c>
      <c r="B57" s="57">
        <v>39995</v>
      </c>
      <c r="C57" s="141">
        <v>0</v>
      </c>
      <c r="D57" s="141">
        <v>0</v>
      </c>
      <c r="E57" s="141"/>
      <c r="F57" s="141">
        <v>0</v>
      </c>
      <c r="G57" s="316" t="s">
        <v>77</v>
      </c>
      <c r="H57" s="328" t="s">
        <v>14</v>
      </c>
    </row>
    <row r="58" spans="1:8" ht="13.5" thickBot="1">
      <c r="A58" s="148"/>
      <c r="B58" s="13"/>
      <c r="C58" s="13"/>
      <c r="D58" s="13"/>
      <c r="E58" s="13"/>
      <c r="F58" s="12"/>
      <c r="G58" s="13"/>
      <c r="H58" s="121"/>
    </row>
    <row r="59" spans="1:8" ht="12.75">
      <c r="A59" s="147" t="s">
        <v>63</v>
      </c>
      <c r="B59" s="7">
        <v>40360</v>
      </c>
      <c r="C59" s="285">
        <v>0</v>
      </c>
      <c r="D59" s="9"/>
      <c r="E59" s="9"/>
      <c r="F59" s="8"/>
      <c r="G59" s="9"/>
      <c r="H59" s="328" t="s">
        <v>14</v>
      </c>
    </row>
    <row r="60" spans="1:8" ht="12.75">
      <c r="A60" s="158"/>
      <c r="B60" s="15">
        <v>40459</v>
      </c>
      <c r="C60" s="150">
        <v>0</v>
      </c>
      <c r="H60" s="350" t="s">
        <v>16</v>
      </c>
    </row>
    <row r="61" spans="1:8" ht="12.75">
      <c r="A61" s="158"/>
      <c r="B61" s="15">
        <v>40527</v>
      </c>
      <c r="C61" s="150">
        <v>0.5</v>
      </c>
      <c r="H61" s="151"/>
    </row>
    <row r="62" spans="1:8" ht="13.5" thickBot="1">
      <c r="A62" s="148"/>
      <c r="B62" s="11">
        <v>40561</v>
      </c>
      <c r="C62" s="153">
        <v>0.69</v>
      </c>
      <c r="D62" s="13"/>
      <c r="E62" s="13"/>
      <c r="F62" s="12"/>
      <c r="G62" s="13"/>
      <c r="H62" s="121"/>
    </row>
    <row r="63" spans="1:8" ht="12.75">
      <c r="A63" s="147" t="s">
        <v>67</v>
      </c>
      <c r="B63" s="7">
        <v>40725</v>
      </c>
      <c r="C63" s="285">
        <v>0.15</v>
      </c>
      <c r="D63" s="9"/>
      <c r="E63" s="9"/>
      <c r="F63" s="8"/>
      <c r="G63" s="9"/>
      <c r="H63" s="351" t="s">
        <v>16</v>
      </c>
    </row>
    <row r="64" spans="1:8" ht="13.5" thickBot="1">
      <c r="A64" s="148"/>
      <c r="B64" s="11">
        <v>41186</v>
      </c>
      <c r="C64" s="352" t="s">
        <v>68</v>
      </c>
      <c r="D64" s="353"/>
      <c r="E64" s="353"/>
      <c r="F64" s="353"/>
      <c r="G64" s="353"/>
      <c r="H64" s="354"/>
    </row>
  </sheetData>
  <mergeCells count="1">
    <mergeCell ref="C64:H64"/>
  </mergeCells>
  <printOptions/>
  <pageMargins left="0.75" right="0.75" top="0.9" bottom="0.82" header="0.5" footer="0.5"/>
  <pageSetup horizontalDpi="300" verticalDpi="300" orientation="landscape" paperSize="9" r:id="rId2"/>
  <headerFooter alignWithMargins="0">
    <oddFooter>&amp;CPage &amp;P</oddFooter>
  </headerFooter>
  <drawing r:id="rId1"/>
</worksheet>
</file>

<file path=xl/worksheets/sheet10.xml><?xml version="1.0" encoding="utf-8"?>
<worksheet xmlns="http://schemas.openxmlformats.org/spreadsheetml/2006/main" xmlns:r="http://schemas.openxmlformats.org/officeDocument/2006/relationships">
  <dimension ref="A1:H49"/>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E61" sqref="E61"/>
    </sheetView>
  </sheetViews>
  <sheetFormatPr defaultColWidth="9.140625" defaultRowHeight="12.75"/>
  <cols>
    <col min="1" max="1" width="10.421875" style="14" customWidth="1"/>
    <col min="2" max="2" width="10.140625" style="17" customWidth="1"/>
    <col min="3" max="3" width="10.00390625" style="24" customWidth="1"/>
    <col min="4" max="4" width="11.00390625" style="24" customWidth="1"/>
    <col min="5" max="5" width="11.421875" style="24" customWidth="1"/>
    <col min="6" max="6" width="11.57421875" style="17" customWidth="1"/>
    <col min="7" max="7" width="12.8515625" style="17" customWidth="1"/>
    <col min="8" max="8" width="54.140625" style="0" customWidth="1"/>
  </cols>
  <sheetData>
    <row r="1" spans="1:8" ht="24" customHeight="1" thickBot="1">
      <c r="A1" s="36" t="s">
        <v>151</v>
      </c>
      <c r="B1" s="2"/>
      <c r="C1" s="22"/>
      <c r="D1" s="22"/>
      <c r="E1" s="22"/>
      <c r="F1" s="2"/>
      <c r="G1" s="2"/>
      <c r="H1" s="3"/>
    </row>
    <row r="2" spans="1:8" ht="15.75" customHeight="1" thickBot="1">
      <c r="A2" s="29" t="s">
        <v>80</v>
      </c>
      <c r="B2" s="33"/>
      <c r="C2" s="34"/>
      <c r="D2" s="34"/>
      <c r="E2" s="34"/>
      <c r="F2" s="33"/>
      <c r="G2" s="33"/>
      <c r="H2" s="38" t="s">
        <v>81</v>
      </c>
    </row>
    <row r="3" spans="1:8" ht="56.25" customHeight="1" thickBot="1">
      <c r="A3" s="6"/>
      <c r="B3" s="2"/>
      <c r="C3" s="22"/>
      <c r="D3" s="22"/>
      <c r="E3" s="22"/>
      <c r="F3" s="2"/>
      <c r="G3" s="2"/>
      <c r="H3" s="3"/>
    </row>
    <row r="4" spans="1:8" ht="15.75" customHeight="1" thickBot="1">
      <c r="A4" s="29" t="s">
        <v>152</v>
      </c>
      <c r="B4" s="33"/>
      <c r="C4" s="34"/>
      <c r="D4" s="34"/>
      <c r="E4" s="34"/>
      <c r="F4" s="33"/>
      <c r="G4" s="33"/>
      <c r="H4" s="38"/>
    </row>
    <row r="5" spans="1:8" s="5" customFormat="1" ht="24">
      <c r="A5" s="39"/>
      <c r="B5" s="40" t="s">
        <v>83</v>
      </c>
      <c r="C5" s="41" t="s">
        <v>84</v>
      </c>
      <c r="D5" s="41" t="s">
        <v>85</v>
      </c>
      <c r="E5" s="51" t="s">
        <v>213</v>
      </c>
      <c r="F5" s="52"/>
      <c r="G5" s="42" t="s">
        <v>86</v>
      </c>
      <c r="H5" s="43"/>
    </row>
    <row r="6" spans="1:8" s="5" customFormat="1" ht="23.25" customHeight="1" thickBot="1">
      <c r="A6" s="44" t="s">
        <v>87</v>
      </c>
      <c r="B6" s="45" t="s">
        <v>86</v>
      </c>
      <c r="C6" s="46" t="s">
        <v>86</v>
      </c>
      <c r="D6" s="46" t="s">
        <v>88</v>
      </c>
      <c r="E6" s="49" t="s">
        <v>214</v>
      </c>
      <c r="F6" s="50" t="s">
        <v>215</v>
      </c>
      <c r="G6" s="47" t="s">
        <v>89</v>
      </c>
      <c r="H6" s="48" t="s">
        <v>90</v>
      </c>
    </row>
    <row r="7" spans="1:8" ht="15.75" customHeight="1" thickBot="1">
      <c r="A7" s="56" t="s">
        <v>141</v>
      </c>
      <c r="B7" s="57">
        <v>29483</v>
      </c>
      <c r="C7" s="58">
        <v>50</v>
      </c>
      <c r="D7" s="58">
        <v>0</v>
      </c>
      <c r="E7" s="58"/>
      <c r="F7" s="59"/>
      <c r="G7" s="60" t="s">
        <v>92</v>
      </c>
      <c r="H7" s="61" t="s">
        <v>153</v>
      </c>
    </row>
    <row r="8" spans="1:8" ht="15.75" customHeight="1">
      <c r="A8" s="56" t="s">
        <v>91</v>
      </c>
      <c r="B8" s="57">
        <v>29833</v>
      </c>
      <c r="C8" s="58">
        <v>25</v>
      </c>
      <c r="D8" s="58">
        <v>0</v>
      </c>
      <c r="E8" s="58"/>
      <c r="F8" s="59"/>
      <c r="G8" s="60" t="s">
        <v>92</v>
      </c>
      <c r="H8" s="61" t="s">
        <v>154</v>
      </c>
    </row>
    <row r="9" spans="1:8" ht="15.75" customHeight="1">
      <c r="A9" s="62"/>
      <c r="B9" s="63">
        <v>29913</v>
      </c>
      <c r="C9" s="64">
        <v>35</v>
      </c>
      <c r="D9" s="64">
        <v>0</v>
      </c>
      <c r="E9" s="64"/>
      <c r="F9" s="65"/>
      <c r="G9" s="66" t="s">
        <v>92</v>
      </c>
      <c r="H9" s="67"/>
    </row>
    <row r="10" spans="1:8" ht="15.75" customHeight="1" thickBot="1">
      <c r="A10" s="68"/>
      <c r="B10" s="69">
        <v>29973</v>
      </c>
      <c r="C10" s="70">
        <v>45</v>
      </c>
      <c r="D10" s="70">
        <v>0</v>
      </c>
      <c r="E10" s="70"/>
      <c r="F10" s="71"/>
      <c r="G10" s="72" t="s">
        <v>92</v>
      </c>
      <c r="H10" s="73"/>
    </row>
    <row r="11" spans="1:8" ht="15.75" customHeight="1">
      <c r="A11" s="56" t="s">
        <v>93</v>
      </c>
      <c r="B11" s="57">
        <v>30138</v>
      </c>
      <c r="C11" s="58">
        <v>10</v>
      </c>
      <c r="D11" s="58">
        <v>0</v>
      </c>
      <c r="E11" s="58"/>
      <c r="F11" s="59"/>
      <c r="G11" s="60" t="s">
        <v>92</v>
      </c>
      <c r="H11" s="61"/>
    </row>
    <row r="12" spans="1:8" ht="15.75" customHeight="1">
      <c r="A12" s="62"/>
      <c r="B12" s="63">
        <v>30244</v>
      </c>
      <c r="C12" s="64">
        <v>20</v>
      </c>
      <c r="D12" s="64">
        <v>0</v>
      </c>
      <c r="E12" s="64"/>
      <c r="F12" s="65"/>
      <c r="G12" s="66" t="s">
        <v>92</v>
      </c>
      <c r="H12" s="67"/>
    </row>
    <row r="13" spans="1:8" ht="15.75" customHeight="1" thickBot="1">
      <c r="A13" s="68"/>
      <c r="B13" s="69">
        <v>30305</v>
      </c>
      <c r="C13" s="70">
        <v>25</v>
      </c>
      <c r="D13" s="70">
        <v>0</v>
      </c>
      <c r="E13" s="70"/>
      <c r="F13" s="71"/>
      <c r="G13" s="72" t="s">
        <v>92</v>
      </c>
      <c r="H13" s="73"/>
    </row>
    <row r="14" spans="1:8" ht="15.75" customHeight="1">
      <c r="A14" s="56" t="s">
        <v>95</v>
      </c>
      <c r="B14" s="57">
        <v>30519</v>
      </c>
      <c r="C14" s="58">
        <v>0</v>
      </c>
      <c r="D14" s="58">
        <v>0</v>
      </c>
      <c r="E14" s="58"/>
      <c r="F14" s="59"/>
      <c r="G14" s="60" t="s">
        <v>92</v>
      </c>
      <c r="H14" s="61"/>
    </row>
    <row r="15" spans="1:8" ht="15.75" customHeight="1">
      <c r="A15" s="62"/>
      <c r="B15" s="63">
        <v>30601</v>
      </c>
      <c r="C15" s="64">
        <v>10</v>
      </c>
      <c r="D15" s="64">
        <v>0</v>
      </c>
      <c r="E15" s="64"/>
      <c r="F15" s="65"/>
      <c r="G15" s="66" t="s">
        <v>92</v>
      </c>
      <c r="H15" s="67"/>
    </row>
    <row r="16" spans="1:8" ht="15.75" customHeight="1">
      <c r="A16" s="62"/>
      <c r="B16" s="63">
        <v>30664</v>
      </c>
      <c r="C16" s="64">
        <v>15</v>
      </c>
      <c r="D16" s="64">
        <v>0</v>
      </c>
      <c r="E16" s="64"/>
      <c r="F16" s="65"/>
      <c r="G16" s="66" t="s">
        <v>92</v>
      </c>
      <c r="H16" s="67"/>
    </row>
    <row r="17" spans="1:8" ht="15.75" customHeight="1">
      <c r="A17" s="62"/>
      <c r="B17" s="63">
        <v>30687</v>
      </c>
      <c r="C17" s="64">
        <v>25</v>
      </c>
      <c r="D17" s="64">
        <v>0</v>
      </c>
      <c r="E17" s="64"/>
      <c r="F17" s="65"/>
      <c r="G17" s="66" t="s">
        <v>92</v>
      </c>
      <c r="H17" s="67"/>
    </row>
    <row r="18" spans="1:8" ht="15.75" customHeight="1" thickBot="1">
      <c r="A18" s="68"/>
      <c r="B18" s="69">
        <v>30742</v>
      </c>
      <c r="C18" s="70">
        <v>75</v>
      </c>
      <c r="D18" s="70">
        <v>0</v>
      </c>
      <c r="E18" s="70"/>
      <c r="F18" s="71"/>
      <c r="G18" s="72" t="s">
        <v>92</v>
      </c>
      <c r="H18" s="73"/>
    </row>
    <row r="19" spans="1:8" ht="15.75" customHeight="1">
      <c r="A19" s="56" t="s">
        <v>96</v>
      </c>
      <c r="B19" s="57">
        <v>30886</v>
      </c>
      <c r="C19" s="58">
        <v>75</v>
      </c>
      <c r="D19" s="58">
        <v>0</v>
      </c>
      <c r="E19" s="58"/>
      <c r="F19" s="59"/>
      <c r="G19" s="60" t="s">
        <v>92</v>
      </c>
      <c r="H19" s="61"/>
    </row>
    <row r="20" spans="1:8" ht="15.75" customHeight="1" thickBot="1">
      <c r="A20" s="68"/>
      <c r="B20" s="69">
        <v>30893</v>
      </c>
      <c r="C20" s="70">
        <v>100</v>
      </c>
      <c r="D20" s="70">
        <v>0</v>
      </c>
      <c r="E20" s="70"/>
      <c r="F20" s="71"/>
      <c r="G20" s="72" t="s">
        <v>92</v>
      </c>
      <c r="H20" s="73"/>
    </row>
    <row r="21" spans="1:8" ht="15.75" customHeight="1" thickBot="1">
      <c r="A21" s="74" t="s">
        <v>97</v>
      </c>
      <c r="B21" s="75">
        <v>31247</v>
      </c>
      <c r="C21" s="76">
        <v>100</v>
      </c>
      <c r="D21" s="76">
        <v>0</v>
      </c>
      <c r="E21" s="76"/>
      <c r="F21" s="77"/>
      <c r="G21" s="78" t="s">
        <v>92</v>
      </c>
      <c r="H21" s="79"/>
    </row>
    <row r="22" spans="1:8" ht="15.75" customHeight="1">
      <c r="A22" s="56" t="s">
        <v>98</v>
      </c>
      <c r="B22" s="57">
        <v>31636</v>
      </c>
      <c r="C22" s="58">
        <v>80</v>
      </c>
      <c r="D22" s="58">
        <v>0</v>
      </c>
      <c r="E22" s="58"/>
      <c r="F22" s="59"/>
      <c r="G22" s="60" t="s">
        <v>92</v>
      </c>
      <c r="H22" s="61"/>
    </row>
    <row r="23" spans="1:8" ht="15.75" customHeight="1" thickBot="1">
      <c r="A23" s="68"/>
      <c r="B23" s="69">
        <v>31650</v>
      </c>
      <c r="C23" s="70">
        <v>100</v>
      </c>
      <c r="D23" s="70">
        <v>0</v>
      </c>
      <c r="E23" s="70"/>
      <c r="F23" s="71"/>
      <c r="G23" s="72" t="s">
        <v>92</v>
      </c>
      <c r="H23" s="73"/>
    </row>
    <row r="24" spans="1:8" ht="15.75" customHeight="1">
      <c r="A24" s="56" t="s">
        <v>99</v>
      </c>
      <c r="B24" s="57">
        <v>31999</v>
      </c>
      <c r="C24" s="58">
        <v>75</v>
      </c>
      <c r="D24" s="58">
        <v>0</v>
      </c>
      <c r="E24" s="58"/>
      <c r="F24" s="59"/>
      <c r="G24" s="60" t="s">
        <v>92</v>
      </c>
      <c r="H24" s="61" t="s">
        <v>155</v>
      </c>
    </row>
    <row r="25" spans="1:8" ht="15.75" customHeight="1">
      <c r="A25" s="62"/>
      <c r="B25" s="63">
        <v>31999</v>
      </c>
      <c r="C25" s="64">
        <v>90</v>
      </c>
      <c r="D25" s="64">
        <v>0</v>
      </c>
      <c r="E25" s="64"/>
      <c r="F25" s="65"/>
      <c r="G25" s="66" t="s">
        <v>92</v>
      </c>
      <c r="H25" s="67" t="s">
        <v>156</v>
      </c>
    </row>
    <row r="26" spans="1:8" ht="15.75" customHeight="1">
      <c r="A26" s="62"/>
      <c r="B26" s="63">
        <v>32031</v>
      </c>
      <c r="C26" s="64">
        <v>85</v>
      </c>
      <c r="D26" s="64">
        <v>0</v>
      </c>
      <c r="E26" s="64"/>
      <c r="F26" s="65"/>
      <c r="G26" s="66" t="s">
        <v>92</v>
      </c>
      <c r="H26" s="67" t="s">
        <v>155</v>
      </c>
    </row>
    <row r="27" spans="1:8" ht="15.75" customHeight="1">
      <c r="A27" s="62"/>
      <c r="B27" s="63">
        <v>32031</v>
      </c>
      <c r="C27" s="64">
        <v>100</v>
      </c>
      <c r="D27" s="64">
        <v>0</v>
      </c>
      <c r="E27" s="64"/>
      <c r="F27" s="65"/>
      <c r="G27" s="66" t="s">
        <v>92</v>
      </c>
      <c r="H27" s="67" t="s">
        <v>156</v>
      </c>
    </row>
    <row r="28" spans="1:8" ht="15.75" customHeight="1" thickBot="1">
      <c r="A28" s="68"/>
      <c r="B28" s="69">
        <v>32101</v>
      </c>
      <c r="C28" s="70">
        <v>100</v>
      </c>
      <c r="D28" s="70">
        <v>0</v>
      </c>
      <c r="E28" s="70"/>
      <c r="F28" s="71"/>
      <c r="G28" s="72" t="s">
        <v>92</v>
      </c>
      <c r="H28" s="73" t="s">
        <v>155</v>
      </c>
    </row>
    <row r="29" spans="1:8" ht="15.75" customHeight="1" thickBot="1">
      <c r="A29" s="56" t="s">
        <v>100</v>
      </c>
      <c r="B29" s="57">
        <v>32366</v>
      </c>
      <c r="C29" s="58">
        <v>100</v>
      </c>
      <c r="D29" s="58">
        <v>0</v>
      </c>
      <c r="E29" s="58"/>
      <c r="F29" s="59"/>
      <c r="G29" s="60" t="s">
        <v>92</v>
      </c>
      <c r="H29" s="61"/>
    </row>
    <row r="30" spans="1:8" ht="15.75" customHeight="1">
      <c r="A30" s="56" t="s">
        <v>101</v>
      </c>
      <c r="B30" s="57">
        <v>32702</v>
      </c>
      <c r="C30" s="58">
        <v>100</v>
      </c>
      <c r="D30" s="58">
        <v>0</v>
      </c>
      <c r="E30" s="58"/>
      <c r="F30" s="59"/>
      <c r="G30" s="60" t="s">
        <v>92</v>
      </c>
      <c r="H30" s="61"/>
    </row>
    <row r="31" spans="1:8" ht="15.75" customHeight="1" thickBot="1">
      <c r="A31" s="68"/>
      <c r="B31" s="69">
        <v>32807</v>
      </c>
      <c r="C31" s="70">
        <v>120</v>
      </c>
      <c r="D31" s="70">
        <v>0</v>
      </c>
      <c r="E31" s="70"/>
      <c r="F31" s="71"/>
      <c r="G31" s="72" t="s">
        <v>92</v>
      </c>
      <c r="H31" s="73"/>
    </row>
    <row r="32" spans="1:8" ht="15.75" customHeight="1" thickBot="1">
      <c r="A32" s="74" t="s">
        <v>102</v>
      </c>
      <c r="B32" s="75">
        <v>33073</v>
      </c>
      <c r="C32" s="76">
        <v>120</v>
      </c>
      <c r="D32" s="76">
        <v>0</v>
      </c>
      <c r="E32" s="76"/>
      <c r="F32" s="77"/>
      <c r="G32" s="78" t="s">
        <v>92</v>
      </c>
      <c r="H32" s="79"/>
    </row>
    <row r="33" spans="1:8" ht="15.75" customHeight="1" thickBot="1">
      <c r="A33" s="74" t="s">
        <v>103</v>
      </c>
      <c r="B33" s="75">
        <v>33458</v>
      </c>
      <c r="C33" s="76">
        <v>100</v>
      </c>
      <c r="D33" s="76">
        <v>0</v>
      </c>
      <c r="E33" s="76"/>
      <c r="F33" s="77"/>
      <c r="G33" s="78" t="s">
        <v>104</v>
      </c>
      <c r="H33" s="79"/>
    </row>
    <row r="34" spans="1:8" ht="15.75" customHeight="1">
      <c r="A34" s="56" t="s">
        <v>105</v>
      </c>
      <c r="B34" s="57">
        <v>33855</v>
      </c>
      <c r="C34" s="58">
        <v>100</v>
      </c>
      <c r="D34" s="58">
        <v>0</v>
      </c>
      <c r="E34" s="58"/>
      <c r="F34" s="59"/>
      <c r="G34" s="60" t="s">
        <v>104</v>
      </c>
      <c r="H34" s="61"/>
    </row>
    <row r="35" spans="1:8" ht="15.75" customHeight="1" thickBot="1">
      <c r="A35" s="68"/>
      <c r="B35" s="69">
        <v>33976</v>
      </c>
      <c r="C35" s="70">
        <v>120</v>
      </c>
      <c r="D35" s="70">
        <v>0</v>
      </c>
      <c r="E35" s="70"/>
      <c r="F35" s="71"/>
      <c r="G35" s="72" t="s">
        <v>104</v>
      </c>
      <c r="H35" s="73"/>
    </row>
    <row r="36" spans="1:8" ht="15.75" customHeight="1">
      <c r="A36" s="56" t="s">
        <v>106</v>
      </c>
      <c r="B36" s="57">
        <v>34235</v>
      </c>
      <c r="C36" s="58">
        <v>100</v>
      </c>
      <c r="D36" s="58">
        <v>0</v>
      </c>
      <c r="E36" s="58"/>
      <c r="F36" s="59"/>
      <c r="G36" s="60" t="s">
        <v>104</v>
      </c>
      <c r="H36" s="61"/>
    </row>
    <row r="37" spans="1:8" ht="15.75" customHeight="1" thickBot="1">
      <c r="A37" s="68"/>
      <c r="B37" s="69">
        <v>34348</v>
      </c>
      <c r="C37" s="70">
        <v>120</v>
      </c>
      <c r="D37" s="70">
        <v>0</v>
      </c>
      <c r="E37" s="70"/>
      <c r="F37" s="71"/>
      <c r="G37" s="72" t="s">
        <v>104</v>
      </c>
      <c r="H37" s="73"/>
    </row>
    <row r="38" spans="1:8" ht="15.75" customHeight="1">
      <c r="A38" s="56" t="s">
        <v>108</v>
      </c>
      <c r="B38" s="57">
        <v>34586</v>
      </c>
      <c r="C38" s="58">
        <v>100</v>
      </c>
      <c r="D38" s="58">
        <v>0</v>
      </c>
      <c r="E38" s="58"/>
      <c r="F38" s="59"/>
      <c r="G38" s="60" t="s">
        <v>104</v>
      </c>
      <c r="H38" s="61"/>
    </row>
    <row r="39" spans="1:8" ht="15.75" customHeight="1" thickBot="1">
      <c r="A39" s="68"/>
      <c r="B39" s="69">
        <v>34675</v>
      </c>
      <c r="C39" s="70">
        <v>120</v>
      </c>
      <c r="D39" s="70">
        <v>0</v>
      </c>
      <c r="E39" s="70"/>
      <c r="F39" s="71"/>
      <c r="G39" s="72" t="s">
        <v>104</v>
      </c>
      <c r="H39" s="73"/>
    </row>
    <row r="40" spans="1:8" ht="15.75" customHeight="1" thickBot="1">
      <c r="A40" s="74" t="s">
        <v>109</v>
      </c>
      <c r="B40" s="75">
        <v>34950</v>
      </c>
      <c r="C40" s="76">
        <v>100</v>
      </c>
      <c r="D40" s="76">
        <v>0</v>
      </c>
      <c r="E40" s="76"/>
      <c r="F40" s="77"/>
      <c r="G40" s="78" t="s">
        <v>104</v>
      </c>
      <c r="H40" s="79"/>
    </row>
    <row r="41" spans="1:7" s="102" customFormat="1" ht="13.5" thickBot="1">
      <c r="A41" s="10" t="s">
        <v>110</v>
      </c>
      <c r="B41" s="11">
        <v>35578</v>
      </c>
      <c r="C41" s="25">
        <v>120</v>
      </c>
      <c r="D41" s="25">
        <v>0</v>
      </c>
      <c r="E41" s="25"/>
      <c r="F41" s="13"/>
      <c r="G41" s="78" t="s">
        <v>104</v>
      </c>
    </row>
    <row r="42" spans="1:8" s="102" customFormat="1" ht="13.5" thickBot="1">
      <c r="A42" s="10" t="s">
        <v>112</v>
      </c>
      <c r="B42" s="11">
        <v>35905</v>
      </c>
      <c r="C42" s="25">
        <v>120</v>
      </c>
      <c r="D42" s="25">
        <v>0</v>
      </c>
      <c r="E42" s="25"/>
      <c r="F42" s="13"/>
      <c r="G42" s="78" t="s">
        <v>104</v>
      </c>
      <c r="H42" s="79"/>
    </row>
    <row r="43" spans="1:8" ht="26.25" thickBot="1">
      <c r="A43" s="68" t="s">
        <v>113</v>
      </c>
      <c r="B43" s="71"/>
      <c r="C43" s="70">
        <v>100</v>
      </c>
      <c r="D43" s="70"/>
      <c r="E43" s="25"/>
      <c r="F43" s="13"/>
      <c r="G43" s="13"/>
      <c r="H43" s="80" t="s">
        <v>244</v>
      </c>
    </row>
    <row r="44" spans="1:8" ht="26.25" thickBot="1">
      <c r="A44" s="181" t="s">
        <v>183</v>
      </c>
      <c r="B44" s="57"/>
      <c r="C44" s="141">
        <v>1</v>
      </c>
      <c r="D44" s="59"/>
      <c r="E44" s="9"/>
      <c r="F44" s="8"/>
      <c r="G44" s="9"/>
      <c r="H44" s="80" t="s">
        <v>244</v>
      </c>
    </row>
    <row r="45" spans="1:8" ht="13.5" thickBot="1">
      <c r="A45" s="127" t="s">
        <v>234</v>
      </c>
      <c r="B45" s="19">
        <v>36839</v>
      </c>
      <c r="C45" s="179">
        <v>1</v>
      </c>
      <c r="D45" s="179"/>
      <c r="E45" s="179"/>
      <c r="F45" s="179"/>
      <c r="G45" s="21"/>
      <c r="H45" s="128"/>
    </row>
    <row r="46" spans="1:8" ht="13.5" thickBot="1">
      <c r="A46" s="127" t="s">
        <v>3</v>
      </c>
      <c r="B46" s="19">
        <v>37117</v>
      </c>
      <c r="C46" s="179">
        <v>1</v>
      </c>
      <c r="D46" s="179"/>
      <c r="E46" s="179"/>
      <c r="F46" s="179"/>
      <c r="G46" s="21"/>
      <c r="H46" s="128"/>
    </row>
    <row r="47" spans="1:8" ht="13.5" thickBot="1">
      <c r="A47" s="127" t="s">
        <v>10</v>
      </c>
      <c r="B47" s="19">
        <v>37468</v>
      </c>
      <c r="C47" s="179">
        <v>1</v>
      </c>
      <c r="D47" s="179"/>
      <c r="E47" s="179"/>
      <c r="F47" s="179"/>
      <c r="G47" s="21" t="s">
        <v>111</v>
      </c>
      <c r="H47" s="128"/>
    </row>
    <row r="48" spans="1:8" ht="13.5" thickBot="1">
      <c r="A48" s="127" t="s">
        <v>13</v>
      </c>
      <c r="B48" s="19">
        <v>37806</v>
      </c>
      <c r="C48" s="179">
        <v>1</v>
      </c>
      <c r="D48" s="179"/>
      <c r="E48" s="179"/>
      <c r="F48" s="179"/>
      <c r="G48" s="21" t="s">
        <v>111</v>
      </c>
      <c r="H48" s="128"/>
    </row>
    <row r="49" spans="1:8" ht="21.75" customHeight="1" thickBot="1">
      <c r="A49" s="127" t="s">
        <v>42</v>
      </c>
      <c r="B49" s="344" t="s">
        <v>57</v>
      </c>
      <c r="C49" s="339"/>
      <c r="D49" s="339"/>
      <c r="E49" s="339"/>
      <c r="F49" s="339"/>
      <c r="G49" s="339"/>
      <c r="H49" s="337"/>
    </row>
  </sheetData>
  <mergeCells count="1">
    <mergeCell ref="B49:H49"/>
  </mergeCells>
  <printOptions/>
  <pageMargins left="0.75" right="0.75" top="0.78" bottom="0.82" header="0.5" footer="0.5"/>
  <pageSetup horizontalDpi="300" verticalDpi="300" orientation="landscape" paperSize="9" r:id="rId2"/>
  <headerFooter alignWithMargins="0">
    <oddHeader>&amp;LDate : &amp;D&amp;RFilename : g:\rivops\state\allocatn\&amp;F</oddHeader>
    <oddFooter>&amp;CPage &amp;P</oddFooter>
  </headerFooter>
  <drawing r:id="rId1"/>
</worksheet>
</file>

<file path=xl/worksheets/sheet11.xml><?xml version="1.0" encoding="utf-8"?>
<worksheet xmlns="http://schemas.openxmlformats.org/spreadsheetml/2006/main" xmlns:r="http://schemas.openxmlformats.org/officeDocument/2006/relationships">
  <dimension ref="A1:H77"/>
  <sheetViews>
    <sheetView showGridLines="0" workbookViewId="0" topLeftCell="A1">
      <pane ySplit="6" topLeftCell="BM7" activePane="bottomLeft" state="frozen"/>
      <selection pane="topLeft" activeCell="A1" sqref="A1"/>
      <selection pane="bottomLeft" activeCell="J8" sqref="J8"/>
    </sheetView>
  </sheetViews>
  <sheetFormatPr defaultColWidth="9.140625" defaultRowHeight="12.75"/>
  <cols>
    <col min="1" max="1" width="9.140625" style="14" customWidth="1"/>
    <col min="2" max="2" width="10.140625" style="17" customWidth="1"/>
    <col min="3" max="3" width="10.00390625" style="17" customWidth="1"/>
    <col min="4" max="4" width="11.00390625" style="17" customWidth="1"/>
    <col min="5" max="5" width="11.421875" style="17" customWidth="1"/>
    <col min="6" max="6" width="11.28125" style="16" customWidth="1"/>
    <col min="7" max="7" width="12.8515625" style="17" customWidth="1"/>
    <col min="8" max="8" width="54.140625" style="0" customWidth="1"/>
  </cols>
  <sheetData>
    <row r="1" spans="1:8" ht="24" customHeight="1" thickBot="1">
      <c r="A1" s="36" t="s">
        <v>157</v>
      </c>
      <c r="B1" s="2"/>
      <c r="C1" s="22"/>
      <c r="D1" s="22"/>
      <c r="E1" s="22"/>
      <c r="F1" s="137"/>
      <c r="G1" s="2"/>
      <c r="H1" s="3"/>
    </row>
    <row r="2" spans="1:8" ht="15.75" customHeight="1" thickBot="1">
      <c r="A2" s="29" t="s">
        <v>80</v>
      </c>
      <c r="B2" s="33"/>
      <c r="C2" s="34"/>
      <c r="D2" s="34"/>
      <c r="E2" s="34"/>
      <c r="F2" s="138"/>
      <c r="G2" s="33"/>
      <c r="H2" s="38" t="s">
        <v>81</v>
      </c>
    </row>
    <row r="3" spans="1:8" ht="69" customHeight="1" thickBot="1">
      <c r="A3" s="6"/>
      <c r="B3" s="2"/>
      <c r="C3" s="2"/>
      <c r="D3" s="2"/>
      <c r="E3" s="2"/>
      <c r="F3" s="137"/>
      <c r="G3" s="2"/>
      <c r="H3" s="3"/>
    </row>
    <row r="4" spans="1:8" ht="15.75" customHeight="1" thickBot="1">
      <c r="A4" s="29" t="s">
        <v>158</v>
      </c>
      <c r="B4" s="33"/>
      <c r="C4" s="34"/>
      <c r="D4" s="34"/>
      <c r="E4" s="34"/>
      <c r="F4" s="138"/>
      <c r="G4" s="33"/>
      <c r="H4" s="38"/>
    </row>
    <row r="5" spans="1:8" s="5" customFormat="1" ht="24">
      <c r="A5" s="39"/>
      <c r="B5" s="40" t="s">
        <v>83</v>
      </c>
      <c r="C5" s="41" t="s">
        <v>84</v>
      </c>
      <c r="D5" s="41" t="s">
        <v>85</v>
      </c>
      <c r="E5" s="51" t="s">
        <v>213</v>
      </c>
      <c r="F5" s="139"/>
      <c r="G5" s="42" t="s">
        <v>86</v>
      </c>
      <c r="H5" s="43"/>
    </row>
    <row r="6" spans="1:8" s="5" customFormat="1" ht="23.25" customHeight="1" thickBot="1">
      <c r="A6" s="44" t="s">
        <v>87</v>
      </c>
      <c r="B6" s="45" t="s">
        <v>86</v>
      </c>
      <c r="C6" s="46" t="s">
        <v>86</v>
      </c>
      <c r="D6" s="46" t="s">
        <v>88</v>
      </c>
      <c r="E6" s="49" t="s">
        <v>214</v>
      </c>
      <c r="F6" s="140" t="s">
        <v>215</v>
      </c>
      <c r="G6" s="47" t="s">
        <v>89</v>
      </c>
      <c r="H6" s="48" t="s">
        <v>90</v>
      </c>
    </row>
    <row r="7" spans="1:8" ht="15.75" customHeight="1" thickBot="1">
      <c r="A7" s="56" t="s">
        <v>141</v>
      </c>
      <c r="B7" s="57">
        <v>29438</v>
      </c>
      <c r="C7" s="141">
        <v>0.5</v>
      </c>
      <c r="D7" s="60">
        <v>0</v>
      </c>
      <c r="E7" s="59"/>
      <c r="F7" s="60"/>
      <c r="G7" s="60" t="s">
        <v>92</v>
      </c>
      <c r="H7" s="61"/>
    </row>
    <row r="8" spans="1:8" ht="15" customHeight="1">
      <c r="A8" s="56" t="s">
        <v>91</v>
      </c>
      <c r="B8" s="57">
        <v>29823</v>
      </c>
      <c r="C8" s="141">
        <v>0.6</v>
      </c>
      <c r="D8" s="60">
        <v>0</v>
      </c>
      <c r="E8" s="59"/>
      <c r="F8" s="60"/>
      <c r="G8" s="60" t="s">
        <v>92</v>
      </c>
      <c r="H8" s="61"/>
    </row>
    <row r="9" spans="1:8" ht="15" customHeight="1">
      <c r="A9" s="62"/>
      <c r="B9" s="63">
        <v>29854</v>
      </c>
      <c r="C9" s="130">
        <v>0.75</v>
      </c>
      <c r="D9" s="66">
        <v>0</v>
      </c>
      <c r="E9" s="65"/>
      <c r="F9" s="66"/>
      <c r="G9" s="66" t="s">
        <v>92</v>
      </c>
      <c r="H9" s="67"/>
    </row>
    <row r="10" spans="1:8" ht="15" customHeight="1">
      <c r="A10" s="62"/>
      <c r="B10" s="63">
        <v>29917</v>
      </c>
      <c r="C10" s="130">
        <v>0.85</v>
      </c>
      <c r="D10" s="66">
        <v>0</v>
      </c>
      <c r="E10" s="65"/>
      <c r="F10" s="66"/>
      <c r="G10" s="66" t="s">
        <v>92</v>
      </c>
      <c r="H10" s="67"/>
    </row>
    <row r="11" spans="1:8" ht="15.75" customHeight="1" thickBot="1">
      <c r="A11" s="68"/>
      <c r="B11" s="69">
        <v>29984</v>
      </c>
      <c r="C11" s="143">
        <v>1</v>
      </c>
      <c r="D11" s="72">
        <v>0</v>
      </c>
      <c r="E11" s="71"/>
      <c r="F11" s="72"/>
      <c r="G11" s="72" t="s">
        <v>92</v>
      </c>
      <c r="H11" s="73"/>
    </row>
    <row r="12" spans="1:8" ht="15.75" customHeight="1">
      <c r="A12" s="56" t="s">
        <v>93</v>
      </c>
      <c r="B12" s="57">
        <v>30138</v>
      </c>
      <c r="C12" s="141">
        <v>0.4</v>
      </c>
      <c r="D12" s="60">
        <v>0</v>
      </c>
      <c r="E12" s="59"/>
      <c r="F12" s="60"/>
      <c r="G12" s="60" t="s">
        <v>92</v>
      </c>
      <c r="H12" s="61"/>
    </row>
    <row r="13" spans="1:8" ht="15.75" customHeight="1" thickBot="1">
      <c r="A13" s="68"/>
      <c r="B13" s="69">
        <v>30328</v>
      </c>
      <c r="C13" s="143">
        <v>0</v>
      </c>
      <c r="D13" s="72">
        <v>0</v>
      </c>
      <c r="E13" s="71"/>
      <c r="F13" s="72"/>
      <c r="G13" s="72" t="s">
        <v>92</v>
      </c>
      <c r="H13" s="73" t="s">
        <v>94</v>
      </c>
    </row>
    <row r="14" spans="1:8" ht="15.75" customHeight="1">
      <c r="A14" s="56" t="s">
        <v>95</v>
      </c>
      <c r="B14" s="57">
        <v>30518</v>
      </c>
      <c r="C14" s="141">
        <v>0</v>
      </c>
      <c r="D14" s="60">
        <v>0</v>
      </c>
      <c r="E14" s="59"/>
      <c r="F14" s="60"/>
      <c r="G14" s="60" t="s">
        <v>92</v>
      </c>
      <c r="H14" s="61"/>
    </row>
    <row r="15" spans="1:8" ht="15.75" customHeight="1">
      <c r="A15" s="62"/>
      <c r="B15" s="63">
        <v>30580</v>
      </c>
      <c r="C15" s="130">
        <v>0.1</v>
      </c>
      <c r="D15" s="66">
        <v>0</v>
      </c>
      <c r="E15" s="65"/>
      <c r="F15" s="66"/>
      <c r="G15" s="66" t="s">
        <v>92</v>
      </c>
      <c r="H15" s="67"/>
    </row>
    <row r="16" spans="1:8" ht="15.75" customHeight="1">
      <c r="A16" s="62"/>
      <c r="B16" s="63">
        <v>30602</v>
      </c>
      <c r="C16" s="130">
        <v>0.15</v>
      </c>
      <c r="D16" s="66">
        <v>0</v>
      </c>
      <c r="E16" s="65"/>
      <c r="F16" s="66"/>
      <c r="G16" s="66" t="s">
        <v>92</v>
      </c>
      <c r="H16" s="67"/>
    </row>
    <row r="17" spans="1:8" ht="15.75" customHeight="1">
      <c r="A17" s="62"/>
      <c r="B17" s="63">
        <v>30613</v>
      </c>
      <c r="C17" s="130">
        <v>0.2</v>
      </c>
      <c r="D17" s="66">
        <v>0</v>
      </c>
      <c r="E17" s="65"/>
      <c r="F17" s="66"/>
      <c r="G17" s="66" t="s">
        <v>92</v>
      </c>
      <c r="H17" s="67"/>
    </row>
    <row r="18" spans="1:8" ht="15.75" customHeight="1">
      <c r="A18" s="62"/>
      <c r="B18" s="63">
        <v>30630</v>
      </c>
      <c r="C18" s="130">
        <v>0.25</v>
      </c>
      <c r="D18" s="66">
        <v>0</v>
      </c>
      <c r="E18" s="65"/>
      <c r="F18" s="66"/>
      <c r="G18" s="66" t="s">
        <v>92</v>
      </c>
      <c r="H18" s="67"/>
    </row>
    <row r="19" spans="1:8" ht="15.75" customHeight="1">
      <c r="A19" s="62"/>
      <c r="B19" s="63">
        <v>30664</v>
      </c>
      <c r="C19" s="130">
        <v>0.5</v>
      </c>
      <c r="D19" s="66">
        <v>0</v>
      </c>
      <c r="E19" s="65"/>
      <c r="F19" s="66"/>
      <c r="G19" s="66" t="s">
        <v>92</v>
      </c>
      <c r="H19" s="67"/>
    </row>
    <row r="20" spans="1:8" ht="15.75" customHeight="1">
      <c r="A20" s="62"/>
      <c r="B20" s="63">
        <v>30691</v>
      </c>
      <c r="C20" s="130">
        <v>0.6</v>
      </c>
      <c r="D20" s="66">
        <v>0</v>
      </c>
      <c r="E20" s="65"/>
      <c r="F20" s="66"/>
      <c r="G20" s="66" t="s">
        <v>92</v>
      </c>
      <c r="H20" s="67"/>
    </row>
    <row r="21" spans="1:8" ht="15.75" customHeight="1" thickBot="1">
      <c r="A21" s="68"/>
      <c r="B21" s="69">
        <v>30732</v>
      </c>
      <c r="C21" s="143">
        <v>1</v>
      </c>
      <c r="D21" s="72">
        <v>0</v>
      </c>
      <c r="E21" s="71"/>
      <c r="F21" s="72"/>
      <c r="G21" s="72" t="s">
        <v>92</v>
      </c>
      <c r="H21" s="73"/>
    </row>
    <row r="22" spans="1:8" ht="15.75" customHeight="1">
      <c r="A22" s="56" t="s">
        <v>96</v>
      </c>
      <c r="B22" s="57">
        <v>30889</v>
      </c>
      <c r="C22" s="141">
        <v>0.6</v>
      </c>
      <c r="D22" s="60">
        <v>0</v>
      </c>
      <c r="E22" s="59"/>
      <c r="F22" s="60"/>
      <c r="G22" s="60" t="s">
        <v>92</v>
      </c>
      <c r="H22" s="61"/>
    </row>
    <row r="23" spans="1:8" ht="15.75" customHeight="1" thickBot="1">
      <c r="A23" s="68"/>
      <c r="B23" s="69">
        <v>30893</v>
      </c>
      <c r="C23" s="143">
        <v>1</v>
      </c>
      <c r="D23" s="72">
        <v>0</v>
      </c>
      <c r="E23" s="71"/>
      <c r="F23" s="72"/>
      <c r="G23" s="72" t="s">
        <v>92</v>
      </c>
      <c r="H23" s="73"/>
    </row>
    <row r="24" spans="1:8" ht="15.75" customHeight="1">
      <c r="A24" s="56" t="s">
        <v>97</v>
      </c>
      <c r="B24" s="57">
        <v>31250</v>
      </c>
      <c r="C24" s="141">
        <v>1</v>
      </c>
      <c r="D24" s="60">
        <v>0</v>
      </c>
      <c r="E24" s="59"/>
      <c r="F24" s="60"/>
      <c r="G24" s="60" t="s">
        <v>92</v>
      </c>
      <c r="H24" s="61"/>
    </row>
    <row r="25" spans="1:8" ht="15.75" customHeight="1" thickBot="1">
      <c r="A25" s="68"/>
      <c r="B25" s="69">
        <v>31383</v>
      </c>
      <c r="C25" s="143">
        <v>1.2</v>
      </c>
      <c r="D25" s="72">
        <v>0</v>
      </c>
      <c r="E25" s="71"/>
      <c r="F25" s="72"/>
      <c r="G25" s="72" t="s">
        <v>92</v>
      </c>
      <c r="H25" s="73"/>
    </row>
    <row r="26" spans="1:8" ht="15.75" customHeight="1">
      <c r="A26" s="62" t="s">
        <v>98</v>
      </c>
      <c r="B26" s="63">
        <v>31603</v>
      </c>
      <c r="C26" s="130">
        <v>0.9</v>
      </c>
      <c r="D26" s="66">
        <v>0</v>
      </c>
      <c r="E26" s="65"/>
      <c r="F26" s="66"/>
      <c r="G26" s="66" t="s">
        <v>92</v>
      </c>
      <c r="H26" s="67"/>
    </row>
    <row r="27" spans="1:8" ht="15.75" customHeight="1">
      <c r="A27" s="62"/>
      <c r="B27" s="63">
        <v>31650</v>
      </c>
      <c r="C27" s="130">
        <v>1</v>
      </c>
      <c r="D27" s="66">
        <v>0</v>
      </c>
      <c r="E27" s="65"/>
      <c r="F27" s="66"/>
      <c r="G27" s="66" t="s">
        <v>92</v>
      </c>
      <c r="H27" s="67"/>
    </row>
    <row r="28" spans="1:8" ht="15.75" customHeight="1" thickBot="1">
      <c r="A28" s="68"/>
      <c r="B28" s="69">
        <v>31700</v>
      </c>
      <c r="C28" s="143">
        <v>1.2</v>
      </c>
      <c r="D28" s="72">
        <v>0</v>
      </c>
      <c r="E28" s="71"/>
      <c r="F28" s="72"/>
      <c r="G28" s="72" t="s">
        <v>92</v>
      </c>
      <c r="H28" s="73"/>
    </row>
    <row r="29" spans="1:8" ht="15.75" customHeight="1">
      <c r="A29" s="56" t="s">
        <v>99</v>
      </c>
      <c r="B29" s="57">
        <v>31971</v>
      </c>
      <c r="C29" s="141">
        <v>1</v>
      </c>
      <c r="D29" s="60">
        <v>0</v>
      </c>
      <c r="E29" s="59"/>
      <c r="F29" s="60"/>
      <c r="G29" s="60" t="s">
        <v>92</v>
      </c>
      <c r="H29" s="61"/>
    </row>
    <row r="30" spans="1:8" ht="15.75" customHeight="1">
      <c r="A30" s="62"/>
      <c r="B30" s="63">
        <v>32091</v>
      </c>
      <c r="C30" s="130">
        <v>1.2</v>
      </c>
      <c r="D30" s="66">
        <v>0</v>
      </c>
      <c r="E30" s="65"/>
      <c r="F30" s="66"/>
      <c r="G30" s="66" t="s">
        <v>92</v>
      </c>
      <c r="H30" s="67"/>
    </row>
    <row r="31" spans="1:8" ht="15.75" customHeight="1" thickBot="1">
      <c r="A31" s="68"/>
      <c r="B31" s="69">
        <v>32206</v>
      </c>
      <c r="C31" s="143">
        <v>1.2</v>
      </c>
      <c r="D31" s="72">
        <v>20</v>
      </c>
      <c r="E31" s="71"/>
      <c r="F31" s="72"/>
      <c r="G31" s="72" t="s">
        <v>92</v>
      </c>
      <c r="H31" s="73"/>
    </row>
    <row r="32" spans="1:8" ht="15.75" customHeight="1">
      <c r="A32" s="56" t="s">
        <v>100</v>
      </c>
      <c r="B32" s="57">
        <v>32342</v>
      </c>
      <c r="C32" s="141">
        <v>1</v>
      </c>
      <c r="D32" s="60">
        <v>0</v>
      </c>
      <c r="E32" s="59"/>
      <c r="F32" s="60"/>
      <c r="G32" s="60" t="s">
        <v>92</v>
      </c>
      <c r="H32" s="61"/>
    </row>
    <row r="33" spans="1:8" ht="15.75" customHeight="1" thickBot="1">
      <c r="A33" s="68"/>
      <c r="B33" s="69">
        <v>32427</v>
      </c>
      <c r="C33" s="143">
        <v>1.2</v>
      </c>
      <c r="D33" s="72">
        <v>0</v>
      </c>
      <c r="E33" s="71"/>
      <c r="F33" s="72"/>
      <c r="G33" s="72" t="s">
        <v>92</v>
      </c>
      <c r="H33" s="73"/>
    </row>
    <row r="34" spans="1:8" ht="15.75" customHeight="1" thickBot="1">
      <c r="A34" s="74" t="s">
        <v>101</v>
      </c>
      <c r="B34" s="75">
        <v>32720</v>
      </c>
      <c r="C34" s="144">
        <v>1.2</v>
      </c>
      <c r="D34" s="78">
        <v>0</v>
      </c>
      <c r="E34" s="77"/>
      <c r="F34" s="78"/>
      <c r="G34" s="78" t="s">
        <v>92</v>
      </c>
      <c r="H34" s="79"/>
    </row>
    <row r="35" spans="1:8" ht="15.75" customHeight="1" thickBot="1">
      <c r="A35" s="74" t="s">
        <v>102</v>
      </c>
      <c r="B35" s="75">
        <v>33108</v>
      </c>
      <c r="C35" s="144">
        <v>1.2</v>
      </c>
      <c r="D35" s="78">
        <v>0</v>
      </c>
      <c r="E35" s="77"/>
      <c r="F35" s="78"/>
      <c r="G35" s="78" t="s">
        <v>92</v>
      </c>
      <c r="H35" s="79"/>
    </row>
    <row r="36" spans="1:8" ht="15.75" customHeight="1">
      <c r="A36" s="56" t="s">
        <v>103</v>
      </c>
      <c r="B36" s="57">
        <v>33445</v>
      </c>
      <c r="C36" s="141">
        <v>1</v>
      </c>
      <c r="D36" s="60">
        <v>0</v>
      </c>
      <c r="E36" s="59"/>
      <c r="F36" s="60"/>
      <c r="G36" s="60" t="s">
        <v>104</v>
      </c>
      <c r="H36" s="61"/>
    </row>
    <row r="37" spans="1:8" ht="15.75" customHeight="1" thickBot="1">
      <c r="A37" s="68"/>
      <c r="B37" s="69">
        <v>33504</v>
      </c>
      <c r="C37" s="143">
        <v>1.2</v>
      </c>
      <c r="D37" s="72">
        <v>0</v>
      </c>
      <c r="E37" s="71"/>
      <c r="F37" s="72"/>
      <c r="G37" s="72" t="s">
        <v>104</v>
      </c>
      <c r="H37" s="73" t="s">
        <v>159</v>
      </c>
    </row>
    <row r="38" spans="1:8" ht="15.75" customHeight="1" thickBot="1">
      <c r="A38" s="74" t="s">
        <v>105</v>
      </c>
      <c r="B38" s="75">
        <v>33788</v>
      </c>
      <c r="C38" s="144">
        <v>1.2</v>
      </c>
      <c r="D38" s="78">
        <v>0</v>
      </c>
      <c r="E38" s="77"/>
      <c r="F38" s="78"/>
      <c r="G38" s="78" t="s">
        <v>104</v>
      </c>
      <c r="H38" s="79"/>
    </row>
    <row r="39" spans="1:8" ht="15.75" customHeight="1">
      <c r="A39" s="56" t="s">
        <v>106</v>
      </c>
      <c r="B39" s="57">
        <v>34162</v>
      </c>
      <c r="C39" s="141">
        <v>1</v>
      </c>
      <c r="D39" s="60">
        <v>0</v>
      </c>
      <c r="E39" s="59"/>
      <c r="F39" s="60"/>
      <c r="G39" s="60" t="s">
        <v>104</v>
      </c>
      <c r="H39" s="61"/>
    </row>
    <row r="40" spans="1:8" ht="15.75" customHeight="1" thickBot="1">
      <c r="A40" s="68"/>
      <c r="B40" s="69">
        <v>34228</v>
      </c>
      <c r="C40" s="143">
        <v>1.2</v>
      </c>
      <c r="D40" s="72">
        <v>0</v>
      </c>
      <c r="E40" s="71"/>
      <c r="F40" s="72"/>
      <c r="G40" s="72" t="s">
        <v>104</v>
      </c>
      <c r="H40" s="73"/>
    </row>
    <row r="41" spans="1:8" ht="15.75" customHeight="1" thickBot="1">
      <c r="A41" s="74" t="s">
        <v>108</v>
      </c>
      <c r="B41" s="75">
        <v>34564</v>
      </c>
      <c r="C41" s="144">
        <v>0.8</v>
      </c>
      <c r="D41" s="78">
        <v>0</v>
      </c>
      <c r="E41" s="77"/>
      <c r="F41" s="78"/>
      <c r="G41" s="78" t="s">
        <v>104</v>
      </c>
      <c r="H41" s="79"/>
    </row>
    <row r="42" spans="1:8" ht="15.75" customHeight="1">
      <c r="A42" s="56" t="s">
        <v>109</v>
      </c>
      <c r="B42" s="57">
        <v>34913</v>
      </c>
      <c r="C42" s="141">
        <v>0.5</v>
      </c>
      <c r="D42" s="60">
        <v>0</v>
      </c>
      <c r="E42" s="59"/>
      <c r="F42" s="60"/>
      <c r="G42" s="60" t="s">
        <v>104</v>
      </c>
      <c r="H42" s="61"/>
    </row>
    <row r="43" spans="1:8" ht="15" customHeight="1">
      <c r="A43" s="62"/>
      <c r="B43" s="63">
        <v>34969</v>
      </c>
      <c r="C43" s="130">
        <v>0.8</v>
      </c>
      <c r="D43" s="66">
        <v>0</v>
      </c>
      <c r="E43" s="65"/>
      <c r="F43" s="66"/>
      <c r="G43" s="66" t="s">
        <v>104</v>
      </c>
      <c r="H43" s="67"/>
    </row>
    <row r="44" spans="1:8" ht="15" customHeight="1">
      <c r="A44" s="62"/>
      <c r="B44" s="63">
        <v>35005</v>
      </c>
      <c r="C44" s="130">
        <v>0.9</v>
      </c>
      <c r="D44" s="66">
        <v>0</v>
      </c>
      <c r="E44" s="65"/>
      <c r="F44" s="66"/>
      <c r="G44" s="66" t="s">
        <v>104</v>
      </c>
      <c r="H44" s="67"/>
    </row>
    <row r="45" spans="1:8" ht="15.75" customHeight="1" thickBot="1">
      <c r="A45" s="68"/>
      <c r="B45" s="69">
        <v>35021</v>
      </c>
      <c r="C45" s="143">
        <v>1</v>
      </c>
      <c r="D45" s="72">
        <v>0</v>
      </c>
      <c r="E45" s="71"/>
      <c r="F45" s="72"/>
      <c r="G45" s="71" t="s">
        <v>104</v>
      </c>
      <c r="H45" s="73"/>
    </row>
    <row r="46" spans="1:8" ht="15.75" customHeight="1">
      <c r="A46" s="56" t="s">
        <v>110</v>
      </c>
      <c r="B46" s="57">
        <v>35286</v>
      </c>
      <c r="C46" s="141">
        <v>0.7</v>
      </c>
      <c r="D46" s="60">
        <v>0</v>
      </c>
      <c r="E46" s="59"/>
      <c r="F46" s="60">
        <v>20</v>
      </c>
      <c r="G46" s="60" t="s">
        <v>160</v>
      </c>
      <c r="H46" s="61"/>
    </row>
    <row r="47" spans="1:8" ht="15" customHeight="1" thickBot="1">
      <c r="A47" s="62"/>
      <c r="B47" s="63">
        <v>35369</v>
      </c>
      <c r="C47" s="130">
        <v>1</v>
      </c>
      <c r="D47" s="66">
        <v>0</v>
      </c>
      <c r="E47" s="65"/>
      <c r="F47" s="66">
        <v>0</v>
      </c>
      <c r="G47" s="66" t="s">
        <v>160</v>
      </c>
      <c r="H47" s="67" t="s">
        <v>161</v>
      </c>
    </row>
    <row r="48" spans="1:8" ht="15.75" customHeight="1">
      <c r="A48" s="56" t="s">
        <v>112</v>
      </c>
      <c r="B48" s="57">
        <v>35612</v>
      </c>
      <c r="C48" s="141">
        <v>0.4</v>
      </c>
      <c r="D48" s="60">
        <v>0</v>
      </c>
      <c r="E48" s="59"/>
      <c r="F48" s="60">
        <v>20</v>
      </c>
      <c r="G48" s="60" t="s">
        <v>160</v>
      </c>
      <c r="H48" s="61"/>
    </row>
    <row r="49" spans="1:8" ht="15.75" customHeight="1">
      <c r="A49" s="62"/>
      <c r="B49" s="103">
        <v>35685</v>
      </c>
      <c r="C49" s="145">
        <v>0.55</v>
      </c>
      <c r="D49" s="104">
        <v>0</v>
      </c>
      <c r="E49" s="105"/>
      <c r="F49" s="104">
        <v>20</v>
      </c>
      <c r="G49" s="105" t="s">
        <v>162</v>
      </c>
      <c r="H49" s="67"/>
    </row>
    <row r="50" spans="1:8" ht="15.75" customHeight="1" thickBot="1">
      <c r="A50" s="68"/>
      <c r="B50" s="69">
        <v>35704</v>
      </c>
      <c r="C50" s="143">
        <v>0.65</v>
      </c>
      <c r="D50" s="72">
        <v>0</v>
      </c>
      <c r="E50" s="71"/>
      <c r="F50" s="72">
        <v>20</v>
      </c>
      <c r="G50" s="71" t="s">
        <v>163</v>
      </c>
      <c r="H50" s="73"/>
    </row>
    <row r="51" spans="1:8" ht="12.75">
      <c r="A51" s="56" t="s">
        <v>113</v>
      </c>
      <c r="B51" s="57">
        <v>36014</v>
      </c>
      <c r="C51" s="141">
        <v>0.6</v>
      </c>
      <c r="D51" s="60">
        <v>0</v>
      </c>
      <c r="E51" s="141">
        <v>0.3</v>
      </c>
      <c r="F51" s="60" t="s">
        <v>217</v>
      </c>
      <c r="G51" s="60" t="s">
        <v>163</v>
      </c>
      <c r="H51" s="61" t="s">
        <v>218</v>
      </c>
    </row>
    <row r="52" spans="1:8" ht="26.25" thickBot="1">
      <c r="A52" s="62"/>
      <c r="B52" s="103">
        <v>36063</v>
      </c>
      <c r="C52" s="145">
        <v>1</v>
      </c>
      <c r="D52" s="104">
        <v>0</v>
      </c>
      <c r="E52" s="105"/>
      <c r="F52" s="104"/>
      <c r="G52" s="105"/>
      <c r="H52" s="142" t="s">
        <v>219</v>
      </c>
    </row>
    <row r="53" spans="1:8" ht="12.75">
      <c r="A53" s="56" t="s">
        <v>183</v>
      </c>
      <c r="B53" s="57">
        <v>36385</v>
      </c>
      <c r="C53" s="141">
        <v>0.55</v>
      </c>
      <c r="D53" s="60"/>
      <c r="E53" s="141">
        <v>0.5</v>
      </c>
      <c r="F53" s="141">
        <v>0.41</v>
      </c>
      <c r="G53" s="60" t="s">
        <v>111</v>
      </c>
      <c r="H53" s="61"/>
    </row>
    <row r="54" spans="1:8" ht="12.75">
      <c r="A54" s="62"/>
      <c r="B54" s="103">
        <v>36511</v>
      </c>
      <c r="C54" s="145">
        <v>0.7</v>
      </c>
      <c r="D54" s="104"/>
      <c r="E54" s="145">
        <v>0.5</v>
      </c>
      <c r="F54" s="145">
        <v>0.26</v>
      </c>
      <c r="G54" s="105" t="s">
        <v>111</v>
      </c>
      <c r="H54" s="67"/>
    </row>
    <row r="55" spans="1:8" ht="13.5" thickBot="1">
      <c r="A55" s="68"/>
      <c r="B55" s="69">
        <v>36570</v>
      </c>
      <c r="C55" s="143">
        <v>0.74</v>
      </c>
      <c r="D55" s="72"/>
      <c r="E55" s="110">
        <v>0.5</v>
      </c>
      <c r="F55" s="143">
        <v>0.26</v>
      </c>
      <c r="G55" s="71" t="s">
        <v>111</v>
      </c>
      <c r="H55" s="73"/>
    </row>
    <row r="56" spans="1:8" ht="12.75">
      <c r="A56" s="192" t="s">
        <v>234</v>
      </c>
      <c r="B56" s="63">
        <v>36749</v>
      </c>
      <c r="C56" s="130">
        <v>0.59</v>
      </c>
      <c r="D56" s="66"/>
      <c r="E56" s="107">
        <v>0.5</v>
      </c>
      <c r="F56" s="130">
        <v>0.41</v>
      </c>
      <c r="G56" s="65" t="s">
        <v>111</v>
      </c>
      <c r="H56" s="67"/>
    </row>
    <row r="57" spans="1:8" ht="13.5" thickBot="1">
      <c r="A57" s="148"/>
      <c r="B57" s="11">
        <v>36864</v>
      </c>
      <c r="C57" s="146">
        <v>0.84</v>
      </c>
      <c r="D57" s="146"/>
      <c r="E57" s="146">
        <v>0.5</v>
      </c>
      <c r="F57" s="146">
        <v>0.16</v>
      </c>
      <c r="G57" s="13" t="s">
        <v>111</v>
      </c>
      <c r="H57" s="121"/>
    </row>
    <row r="58" spans="1:7" ht="12.75">
      <c r="A58" s="14" t="s">
        <v>3</v>
      </c>
      <c r="B58" s="15">
        <v>36727</v>
      </c>
      <c r="C58" s="157">
        <v>0.58</v>
      </c>
      <c r="D58" s="157"/>
      <c r="E58" s="157">
        <v>0.5</v>
      </c>
      <c r="F58" s="157">
        <v>0.36</v>
      </c>
      <c r="G58" s="17" t="s">
        <v>111</v>
      </c>
    </row>
    <row r="59" spans="1:8" ht="13.5" thickBot="1">
      <c r="A59" s="148"/>
      <c r="B59" s="11"/>
      <c r="C59" s="146"/>
      <c r="D59" s="146"/>
      <c r="E59" s="146"/>
      <c r="F59" s="146"/>
      <c r="G59" s="13"/>
      <c r="H59" s="121"/>
    </row>
    <row r="60" spans="1:7" ht="12.75">
      <c r="A60" s="14" t="s">
        <v>10</v>
      </c>
      <c r="B60" s="15">
        <v>37467</v>
      </c>
      <c r="C60" s="157">
        <v>0</v>
      </c>
      <c r="D60" s="157"/>
      <c r="E60" s="157">
        <v>0.5</v>
      </c>
      <c r="F60" s="157">
        <v>0.28</v>
      </c>
      <c r="G60" s="17" t="s">
        <v>111</v>
      </c>
    </row>
    <row r="61" spans="1:8" ht="13.5" thickBot="1">
      <c r="A61" s="148"/>
      <c r="B61" s="11">
        <v>37490</v>
      </c>
      <c r="C61" s="146">
        <v>0.03</v>
      </c>
      <c r="D61" s="146"/>
      <c r="E61" s="146">
        <v>0.5</v>
      </c>
      <c r="F61" s="146">
        <v>0.28</v>
      </c>
      <c r="G61" s="13" t="s">
        <v>111</v>
      </c>
      <c r="H61" s="121"/>
    </row>
    <row r="62" spans="1:8" ht="12.75">
      <c r="A62" s="147" t="s">
        <v>13</v>
      </c>
      <c r="B62" s="7">
        <v>37806</v>
      </c>
      <c r="C62" s="159">
        <v>0</v>
      </c>
      <c r="D62" s="159"/>
      <c r="E62" s="159">
        <v>0.5</v>
      </c>
      <c r="F62" s="159">
        <v>0.01</v>
      </c>
      <c r="G62" s="9" t="s">
        <v>111</v>
      </c>
      <c r="H62" s="120" t="s">
        <v>14</v>
      </c>
    </row>
    <row r="63" spans="1:8" ht="12.75">
      <c r="A63" s="158"/>
      <c r="B63" s="15">
        <v>37866</v>
      </c>
      <c r="C63" s="157">
        <v>0</v>
      </c>
      <c r="D63" s="157"/>
      <c r="E63" s="157">
        <v>0.5</v>
      </c>
      <c r="F63" s="157">
        <v>0.01</v>
      </c>
      <c r="H63" s="151" t="s">
        <v>18</v>
      </c>
    </row>
    <row r="64" spans="1:8" ht="13.5" thickBot="1">
      <c r="A64" s="148"/>
      <c r="B64" s="13"/>
      <c r="C64" s="13"/>
      <c r="D64" s="13"/>
      <c r="E64" s="13"/>
      <c r="F64" s="12"/>
      <c r="G64" s="13"/>
      <c r="H64" s="121"/>
    </row>
    <row r="65" spans="1:8" ht="15" customHeight="1" thickBot="1">
      <c r="A65" s="180" t="s">
        <v>42</v>
      </c>
      <c r="B65" s="346" t="s">
        <v>59</v>
      </c>
      <c r="C65" s="339"/>
      <c r="D65" s="339"/>
      <c r="E65" s="339"/>
      <c r="F65" s="339"/>
      <c r="G65" s="339"/>
      <c r="H65" s="337"/>
    </row>
    <row r="66" spans="5:8" ht="12.75">
      <c r="E66" s="157"/>
      <c r="F66" s="157"/>
      <c r="H66" s="55"/>
    </row>
    <row r="67" spans="5:8" ht="12.75">
      <c r="E67" s="157"/>
      <c r="F67" s="157"/>
      <c r="H67" s="55"/>
    </row>
    <row r="68" spans="5:8" ht="12.75">
      <c r="E68" s="157"/>
      <c r="F68" s="157"/>
      <c r="H68" s="55"/>
    </row>
    <row r="69" spans="5:8" ht="12.75">
      <c r="E69" s="157"/>
      <c r="F69" s="157"/>
      <c r="H69" s="55"/>
    </row>
    <row r="70" spans="5:8" ht="12.75">
      <c r="E70" s="157"/>
      <c r="F70" s="157"/>
      <c r="H70" s="55"/>
    </row>
    <row r="71" spans="5:8" ht="12.75">
      <c r="E71" s="157"/>
      <c r="F71" s="157"/>
      <c r="H71" s="55"/>
    </row>
    <row r="72" ht="12.75">
      <c r="H72" s="55"/>
    </row>
    <row r="73" ht="12.75">
      <c r="H73" s="55"/>
    </row>
    <row r="74" ht="12.75">
      <c r="H74" s="55"/>
    </row>
    <row r="75" ht="12.75">
      <c r="H75" s="55"/>
    </row>
    <row r="76" ht="12.75">
      <c r="H76" s="55"/>
    </row>
    <row r="77" ht="12.75">
      <c r="H77" s="55"/>
    </row>
  </sheetData>
  <mergeCells count="1">
    <mergeCell ref="B65:H65"/>
  </mergeCells>
  <printOptions/>
  <pageMargins left="0.75" right="0.75" top="0.77" bottom="0.7" header="0.5" footer="0.5"/>
  <pageSetup horizontalDpi="300" verticalDpi="300" orientation="landscape" paperSize="9" r:id="rId2"/>
  <headerFooter alignWithMargins="0">
    <oddHeader>&amp;LDate : &amp;D&amp;RFilename : g:\rivops\state\allocatn\&amp;F</oddHeader>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1:G69"/>
  <sheetViews>
    <sheetView showGridLines="0" workbookViewId="0" topLeftCell="A4">
      <pane xSplit="1" ySplit="2" topLeftCell="B6" activePane="bottomRight" state="frozen"/>
      <selection pane="topLeft" activeCell="A4" sqref="A4"/>
      <selection pane="topRight" activeCell="B4" sqref="B4"/>
      <selection pane="bottomLeft" activeCell="A6" sqref="A6"/>
      <selection pane="bottomRight" activeCell="H6" sqref="H6"/>
    </sheetView>
  </sheetViews>
  <sheetFormatPr defaultColWidth="9.140625" defaultRowHeight="12.75"/>
  <cols>
    <col min="1" max="1" width="9.140625" style="27" customWidth="1"/>
    <col min="2" max="2" width="10.57421875" style="5" customWidth="1"/>
    <col min="3" max="3" width="10.00390625" style="28" customWidth="1"/>
    <col min="4" max="4" width="11.00390625" style="28" customWidth="1"/>
    <col min="5" max="5" width="11.421875" style="28" customWidth="1"/>
    <col min="6" max="6" width="11.7109375" style="155" customWidth="1"/>
    <col min="7" max="7" width="64.00390625" style="5" customWidth="1"/>
    <col min="8" max="16384" width="9.140625" style="5" customWidth="1"/>
  </cols>
  <sheetData>
    <row r="1" spans="1:7" ht="24" customHeight="1" thickBot="1">
      <c r="A1" s="36" t="s">
        <v>192</v>
      </c>
      <c r="B1" s="2"/>
      <c r="C1" s="22"/>
      <c r="D1" s="22"/>
      <c r="E1" s="22"/>
      <c r="F1" s="308"/>
      <c r="G1" s="3"/>
    </row>
    <row r="2" spans="1:7" ht="15.75" customHeight="1" thickBot="1">
      <c r="A2" s="29" t="s">
        <v>80</v>
      </c>
      <c r="B2" s="33"/>
      <c r="C2" s="34"/>
      <c r="D2" s="34"/>
      <c r="E2" s="34"/>
      <c r="F2" s="309"/>
      <c r="G2" s="196" t="s">
        <v>20</v>
      </c>
    </row>
    <row r="3" spans="1:7" ht="121.5" customHeight="1" thickBot="1">
      <c r="A3" s="6"/>
      <c r="B3" s="2"/>
      <c r="C3" s="22"/>
      <c r="D3" s="22"/>
      <c r="E3" s="22"/>
      <c r="F3" s="308"/>
      <c r="G3" s="3"/>
    </row>
    <row r="4" spans="1:7" ht="15.75" customHeight="1" thickBot="1">
      <c r="A4" s="29" t="s">
        <v>22</v>
      </c>
      <c r="B4" s="33"/>
      <c r="C4" s="34"/>
      <c r="D4" s="34"/>
      <c r="E4" s="34"/>
      <c r="F4" s="309"/>
      <c r="G4" s="38"/>
    </row>
    <row r="5" spans="1:7" ht="33.75" customHeight="1" thickBot="1">
      <c r="A5" s="302" t="s">
        <v>87</v>
      </c>
      <c r="B5" s="301" t="s">
        <v>239</v>
      </c>
      <c r="C5" s="298" t="s">
        <v>242</v>
      </c>
      <c r="D5" s="299" t="s">
        <v>241</v>
      </c>
      <c r="E5" s="298" t="s">
        <v>6</v>
      </c>
      <c r="F5" s="299" t="s">
        <v>240</v>
      </c>
      <c r="G5" s="300" t="s">
        <v>90</v>
      </c>
    </row>
    <row r="6" spans="1:7" ht="57.75" customHeight="1">
      <c r="A6" s="62" t="s">
        <v>113</v>
      </c>
      <c r="B6" s="63">
        <v>36110</v>
      </c>
      <c r="C6" s="221">
        <v>1.5</v>
      </c>
      <c r="D6" s="221"/>
      <c r="E6" s="221"/>
      <c r="F6" s="306">
        <f>C6</f>
        <v>1.5</v>
      </c>
      <c r="G6" s="142" t="s">
        <v>21</v>
      </c>
    </row>
    <row r="7" spans="1:7" ht="12.75" customHeight="1">
      <c r="A7" s="62"/>
      <c r="B7" s="63">
        <v>36312</v>
      </c>
      <c r="C7" s="221">
        <v>1.5</v>
      </c>
      <c r="D7" s="222">
        <f>153.1/248</f>
        <v>0.6173387096774193</v>
      </c>
      <c r="E7" s="222">
        <f>153.1/248</f>
        <v>0.6173387096774193</v>
      </c>
      <c r="F7" s="306">
        <v>1.43</v>
      </c>
      <c r="G7" s="142"/>
    </row>
    <row r="8" spans="1:7" ht="12.75" customHeight="1">
      <c r="A8" s="62"/>
      <c r="B8" s="63">
        <v>36341</v>
      </c>
      <c r="C8" s="221">
        <v>1.5</v>
      </c>
      <c r="D8" s="222">
        <f>0.2/248</f>
        <v>0.0008064516129032258</v>
      </c>
      <c r="E8" s="222">
        <f>16.2/248</f>
        <v>0.06532258064516129</v>
      </c>
      <c r="F8" s="306">
        <f>F7-D8+E8</f>
        <v>1.4945161290322582</v>
      </c>
      <c r="G8" s="142"/>
    </row>
    <row r="9" spans="1:7" ht="12.75" customHeight="1">
      <c r="A9" s="62"/>
      <c r="B9" s="63">
        <v>36372</v>
      </c>
      <c r="C9" s="221">
        <v>1.5</v>
      </c>
      <c r="D9" s="222">
        <f>4.6/248</f>
        <v>0.018548387096774192</v>
      </c>
      <c r="E9" s="222">
        <f>8.7/248</f>
        <v>0.03508064516129032</v>
      </c>
      <c r="F9" s="306">
        <v>1.5</v>
      </c>
      <c r="G9" s="142"/>
    </row>
    <row r="10" spans="1:7" ht="12.75" customHeight="1">
      <c r="A10" s="62"/>
      <c r="B10" s="63">
        <v>36403</v>
      </c>
      <c r="C10" s="221">
        <v>1.5</v>
      </c>
      <c r="D10" s="222">
        <f>4.6/248</f>
        <v>0.018548387096774192</v>
      </c>
      <c r="E10" s="222">
        <f>4.6/248</f>
        <v>0.018548387096774192</v>
      </c>
      <c r="F10" s="306">
        <f>F9-D10+E10</f>
        <v>1.5</v>
      </c>
      <c r="G10" s="142"/>
    </row>
    <row r="11" spans="1:7" ht="12.75" customHeight="1" thickBot="1">
      <c r="A11" s="190"/>
      <c r="B11" s="63">
        <v>36433</v>
      </c>
      <c r="C11" s="221">
        <v>1.5</v>
      </c>
      <c r="D11" s="222">
        <f>22.8/248</f>
        <v>0.09193548387096774</v>
      </c>
      <c r="E11" s="222">
        <f>20.6/248</f>
        <v>0.08306451612903226</v>
      </c>
      <c r="F11" s="306">
        <f>F10-D11+E11</f>
        <v>1.4911290322580644</v>
      </c>
      <c r="G11" s="167"/>
    </row>
    <row r="12" spans="1:7" ht="13.5" customHeight="1">
      <c r="A12" s="181" t="s">
        <v>183</v>
      </c>
      <c r="B12" s="57">
        <v>36464</v>
      </c>
      <c r="C12" s="223">
        <v>1.5</v>
      </c>
      <c r="D12" s="224">
        <f>4/247</f>
        <v>0.016194331983805668</v>
      </c>
      <c r="E12" s="224">
        <f>6.2/247</f>
        <v>0.025101214574898785</v>
      </c>
      <c r="F12" s="310">
        <f aca="true" t="shared" si="0" ref="F12:F20">IF(D12="","",F11-D12+E12)</f>
        <v>1.5000359148491575</v>
      </c>
      <c r="G12" s="126"/>
    </row>
    <row r="13" spans="1:7" ht="13.5" customHeight="1">
      <c r="A13" s="191"/>
      <c r="B13" s="63">
        <v>36494</v>
      </c>
      <c r="C13" s="221">
        <v>1.5</v>
      </c>
      <c r="D13" s="225">
        <f>0.1/248</f>
        <v>0.0004032258064516129</v>
      </c>
      <c r="E13" s="222">
        <f>0/247</f>
        <v>0</v>
      </c>
      <c r="F13" s="306">
        <f t="shared" si="0"/>
        <v>1.4996326890427059</v>
      </c>
      <c r="G13" s="142"/>
    </row>
    <row r="14" spans="1:7" ht="13.5" customHeight="1">
      <c r="A14" s="191"/>
      <c r="B14" s="63">
        <v>36525</v>
      </c>
      <c r="C14" s="221">
        <v>1.5</v>
      </c>
      <c r="D14" s="222">
        <f>25.9/247</f>
        <v>0.10485829959514169</v>
      </c>
      <c r="E14" s="222">
        <f>25.9/247</f>
        <v>0.10485829959514169</v>
      </c>
      <c r="F14" s="306">
        <f t="shared" si="0"/>
        <v>1.4996326890427059</v>
      </c>
      <c r="G14" s="142"/>
    </row>
    <row r="15" spans="1:7" ht="13.5" customHeight="1">
      <c r="A15" s="191"/>
      <c r="B15" s="63">
        <v>36556</v>
      </c>
      <c r="C15" s="221">
        <v>1.5</v>
      </c>
      <c r="D15" s="222">
        <f>72.2/247</f>
        <v>0.2923076923076923</v>
      </c>
      <c r="E15" s="222">
        <f>72.2/247</f>
        <v>0.2923076923076923</v>
      </c>
      <c r="F15" s="306">
        <f t="shared" si="0"/>
        <v>1.4996326890427059</v>
      </c>
      <c r="G15" s="142"/>
    </row>
    <row r="16" spans="1:7" ht="12.75">
      <c r="A16" s="191"/>
      <c r="B16" s="63">
        <v>36585</v>
      </c>
      <c r="C16" s="221">
        <v>1.5</v>
      </c>
      <c r="D16" s="222">
        <f>53.6/247</f>
        <v>0.21700404858299596</v>
      </c>
      <c r="E16" s="222">
        <f>0/247</f>
        <v>0</v>
      </c>
      <c r="F16" s="306">
        <f t="shared" si="0"/>
        <v>1.2826286404597098</v>
      </c>
      <c r="G16" s="142"/>
    </row>
    <row r="17" spans="1:7" ht="12.75">
      <c r="A17" s="191"/>
      <c r="B17" s="63">
        <v>36616</v>
      </c>
      <c r="C17" s="221">
        <v>1.5</v>
      </c>
      <c r="D17" s="222">
        <f>9.2/247</f>
        <v>0.03724696356275303</v>
      </c>
      <c r="E17" s="222">
        <f>0/247</f>
        <v>0</v>
      </c>
      <c r="F17" s="306">
        <f t="shared" si="0"/>
        <v>1.2453816768969568</v>
      </c>
      <c r="G17" s="142"/>
    </row>
    <row r="18" spans="1:7" ht="12.75">
      <c r="A18" s="191"/>
      <c r="B18" s="63">
        <v>36646</v>
      </c>
      <c r="C18" s="221">
        <v>1.5</v>
      </c>
      <c r="D18" s="222">
        <f>0.1/247</f>
        <v>0.00040485829959514174</v>
      </c>
      <c r="E18" s="222">
        <f>17.2/247</f>
        <v>0.06963562753036437</v>
      </c>
      <c r="F18" s="306">
        <f t="shared" si="0"/>
        <v>1.314612446127726</v>
      </c>
      <c r="G18" s="142"/>
    </row>
    <row r="19" spans="1:7" ht="25.5">
      <c r="A19" s="191"/>
      <c r="B19" s="63">
        <v>36677</v>
      </c>
      <c r="C19" s="221">
        <v>2</v>
      </c>
      <c r="D19" s="225">
        <f>0.1/247</f>
        <v>0.00040485829959514174</v>
      </c>
      <c r="E19" s="222">
        <f>0/247</f>
        <v>0</v>
      </c>
      <c r="F19" s="306">
        <f t="shared" si="0"/>
        <v>1.3142075878281307</v>
      </c>
      <c r="G19" s="142" t="s">
        <v>7</v>
      </c>
    </row>
    <row r="20" spans="1:7" ht="12.75">
      <c r="A20" s="191"/>
      <c r="B20" s="63">
        <v>36707</v>
      </c>
      <c r="C20" s="221">
        <v>2</v>
      </c>
      <c r="D20" s="225">
        <f>1.5/247</f>
        <v>0.006072874493927126</v>
      </c>
      <c r="E20" s="222">
        <f>0/247</f>
        <v>0</v>
      </c>
      <c r="F20" s="306">
        <f t="shared" si="0"/>
        <v>1.3081347133342036</v>
      </c>
      <c r="G20" s="142"/>
    </row>
    <row r="21" spans="1:7" ht="12.75">
      <c r="A21" s="191"/>
      <c r="B21" s="63">
        <v>36738</v>
      </c>
      <c r="C21" s="221">
        <v>2</v>
      </c>
      <c r="D21" s="225">
        <f>2.1/247</f>
        <v>0.008502024291497975</v>
      </c>
      <c r="E21" s="222">
        <f>13.9/247</f>
        <v>0.0562753036437247</v>
      </c>
      <c r="F21" s="306">
        <f>336.54/248</f>
        <v>1.3570161290322582</v>
      </c>
      <c r="G21" s="142"/>
    </row>
    <row r="22" spans="1:7" ht="12.75">
      <c r="A22" s="191"/>
      <c r="B22" s="63">
        <v>36769</v>
      </c>
      <c r="C22" s="221">
        <v>2</v>
      </c>
      <c r="D22" s="222">
        <f>7.88/247</f>
        <v>0.03190283400809717</v>
      </c>
      <c r="E22" s="222">
        <f>11.25/247</f>
        <v>0.04554655870445344</v>
      </c>
      <c r="F22" s="306">
        <f>IF(D22="","",F21-D22+E22)</f>
        <v>1.3706598537286145</v>
      </c>
      <c r="G22" s="142"/>
    </row>
    <row r="23" spans="1:7" ht="13.5" thickBot="1">
      <c r="A23" s="191"/>
      <c r="B23" s="63">
        <v>36799</v>
      </c>
      <c r="C23" s="221">
        <v>2</v>
      </c>
      <c r="D23" s="222">
        <f>27.77/247</f>
        <v>0.11242914979757085</v>
      </c>
      <c r="E23" s="222">
        <f>18.11/247</f>
        <v>0.07331983805668016</v>
      </c>
      <c r="F23" s="306">
        <f>IF(D23="","",F22-D23+E23)</f>
        <v>1.3315505419877238</v>
      </c>
      <c r="G23" s="167"/>
    </row>
    <row r="24" spans="1:7" ht="12.75">
      <c r="A24" s="147" t="s">
        <v>234</v>
      </c>
      <c r="B24" s="57">
        <v>36830</v>
      </c>
      <c r="C24" s="226">
        <v>2</v>
      </c>
      <c r="D24" s="227">
        <f>18.82/247</f>
        <v>0.07619433198380567</v>
      </c>
      <c r="E24" s="227">
        <f>15.33/247</f>
        <v>0.06206477732793522</v>
      </c>
      <c r="F24" s="242">
        <f>IF(D24="","",F23-D24+E24)</f>
        <v>1.3174209873318534</v>
      </c>
      <c r="G24" s="120"/>
    </row>
    <row r="25" spans="1:7" ht="12.75">
      <c r="A25" s="158"/>
      <c r="B25" s="63">
        <v>36860</v>
      </c>
      <c r="C25" s="228">
        <v>2</v>
      </c>
      <c r="D25" s="229">
        <f>0.29/247</f>
        <v>0.0011740890688259108</v>
      </c>
      <c r="E25" s="230">
        <f>124.07/247</f>
        <v>0.5023076923076922</v>
      </c>
      <c r="F25" s="306">
        <f>IF(D25="","",F24-D25+E25)</f>
        <v>1.8185545905707197</v>
      </c>
      <c r="G25" s="151"/>
    </row>
    <row r="26" spans="1:7" ht="25.5">
      <c r="A26" s="158"/>
      <c r="B26" s="63">
        <v>36891</v>
      </c>
      <c r="C26" s="221">
        <v>2</v>
      </c>
      <c r="D26" s="222">
        <v>0.077</v>
      </c>
      <c r="E26" s="222">
        <v>0.2</v>
      </c>
      <c r="F26" s="306">
        <v>1.86</v>
      </c>
      <c r="G26" s="195" t="s">
        <v>5</v>
      </c>
    </row>
    <row r="27" spans="1:7" ht="12.75">
      <c r="A27" s="158"/>
      <c r="B27" s="63">
        <v>36922</v>
      </c>
      <c r="C27" s="228">
        <v>2</v>
      </c>
      <c r="D27" s="230">
        <f>81.62/247</f>
        <v>0.3304453441295547</v>
      </c>
      <c r="E27" s="230">
        <f>14.2/247</f>
        <v>0.05748987854251012</v>
      </c>
      <c r="F27" s="306">
        <f aca="true" t="shared" si="1" ref="F27:F35">IF(D27="","",F26-D27+E27)</f>
        <v>1.5870445344129556</v>
      </c>
      <c r="G27" s="151"/>
    </row>
    <row r="28" spans="1:7" ht="12.75">
      <c r="A28" s="158"/>
      <c r="B28" s="63">
        <v>36950</v>
      </c>
      <c r="C28" s="228">
        <v>2</v>
      </c>
      <c r="D28" s="229">
        <f>20.07/247</f>
        <v>0.08125506072874494</v>
      </c>
      <c r="E28" s="230">
        <f>8.7/247</f>
        <v>0.035222672064777326</v>
      </c>
      <c r="F28" s="306">
        <f t="shared" si="1"/>
        <v>1.5410121457489878</v>
      </c>
      <c r="G28" s="151"/>
    </row>
    <row r="29" spans="1:7" ht="12.75">
      <c r="A29" s="158"/>
      <c r="B29" s="63">
        <v>36981</v>
      </c>
      <c r="C29" s="228">
        <v>2</v>
      </c>
      <c r="D29" s="230">
        <f>5.25/247</f>
        <v>0.02125506072874494</v>
      </c>
      <c r="E29" s="230">
        <f>24.36/247</f>
        <v>0.09862348178137652</v>
      </c>
      <c r="F29" s="306">
        <f t="shared" si="1"/>
        <v>1.6183805668016193</v>
      </c>
      <c r="G29" s="151"/>
    </row>
    <row r="30" spans="1:7" ht="12.75">
      <c r="A30" s="158"/>
      <c r="B30" s="63">
        <v>37011</v>
      </c>
      <c r="C30" s="228">
        <v>2</v>
      </c>
      <c r="D30" s="230">
        <f>2.9/247</f>
        <v>0.01174089068825911</v>
      </c>
      <c r="E30" s="230">
        <f>7.72/247</f>
        <v>0.03125506072874494</v>
      </c>
      <c r="F30" s="306">
        <f t="shared" si="1"/>
        <v>1.6378947368421053</v>
      </c>
      <c r="G30" s="151"/>
    </row>
    <row r="31" spans="1:7" ht="12.75">
      <c r="A31" s="158"/>
      <c r="B31" s="63">
        <v>37042</v>
      </c>
      <c r="C31" s="228">
        <v>2</v>
      </c>
      <c r="D31" s="230">
        <f>2.03/247</f>
        <v>0.008218623481781376</v>
      </c>
      <c r="E31" s="230">
        <f>5.36/247</f>
        <v>0.021700404858299598</v>
      </c>
      <c r="F31" s="306">
        <f t="shared" si="1"/>
        <v>1.6513765182186235</v>
      </c>
      <c r="G31" s="151"/>
    </row>
    <row r="32" spans="1:7" ht="12.75">
      <c r="A32" s="158"/>
      <c r="B32" s="63">
        <v>37072</v>
      </c>
      <c r="C32" s="228">
        <v>2</v>
      </c>
      <c r="D32" s="230">
        <f>1.32/247</f>
        <v>0.005344129554655871</v>
      </c>
      <c r="E32" s="230">
        <v>0</v>
      </c>
      <c r="F32" s="306">
        <f t="shared" si="1"/>
        <v>1.6460323886639676</v>
      </c>
      <c r="G32" s="151"/>
    </row>
    <row r="33" spans="1:7" ht="12.75">
      <c r="A33" s="158"/>
      <c r="B33" s="63">
        <v>37103</v>
      </c>
      <c r="C33" s="228">
        <v>2</v>
      </c>
      <c r="D33" s="230">
        <v>0</v>
      </c>
      <c r="E33" s="230">
        <f>11.74/247</f>
        <v>0.04753036437246964</v>
      </c>
      <c r="F33" s="306">
        <f t="shared" si="1"/>
        <v>1.6935627530364372</v>
      </c>
      <c r="G33" s="151"/>
    </row>
    <row r="34" spans="1:7" ht="12.75">
      <c r="A34" s="158"/>
      <c r="B34" s="63">
        <v>37134</v>
      </c>
      <c r="C34" s="228">
        <v>2</v>
      </c>
      <c r="D34" s="230">
        <f>10.51/247</f>
        <v>0.042550607287449395</v>
      </c>
      <c r="E34" s="230">
        <f>12.38/247</f>
        <v>0.05012145748987855</v>
      </c>
      <c r="F34" s="306">
        <f t="shared" si="1"/>
        <v>1.7011336032388664</v>
      </c>
      <c r="G34" s="151"/>
    </row>
    <row r="35" spans="1:7" ht="13.5" thickBot="1">
      <c r="A35" s="148"/>
      <c r="B35" s="69">
        <v>37164</v>
      </c>
      <c r="C35" s="231">
        <v>2</v>
      </c>
      <c r="D35" s="232">
        <f>51.85/247</f>
        <v>0.20991902834008097</v>
      </c>
      <c r="E35" s="232">
        <f>29.74/247</f>
        <v>0.12040485829959513</v>
      </c>
      <c r="F35" s="311">
        <f t="shared" si="1"/>
        <v>1.6116194331983806</v>
      </c>
      <c r="G35" s="121"/>
    </row>
    <row r="36" spans="1:7" ht="25.5">
      <c r="A36" s="181" t="s">
        <v>3</v>
      </c>
      <c r="B36" s="63">
        <v>37195</v>
      </c>
      <c r="C36" s="223">
        <v>2</v>
      </c>
      <c r="D36" s="223">
        <f>8.18/247</f>
        <v>0.03311740890688259</v>
      </c>
      <c r="E36" s="224">
        <f>13.08/247</f>
        <v>0.05295546558704454</v>
      </c>
      <c r="F36" s="242">
        <v>1.5800809</v>
      </c>
      <c r="G36" s="220" t="s">
        <v>19</v>
      </c>
    </row>
    <row r="37" spans="1:7" ht="12.75">
      <c r="A37" s="158"/>
      <c r="B37" s="63">
        <v>37225</v>
      </c>
      <c r="C37" s="228">
        <v>2</v>
      </c>
      <c r="D37" s="229">
        <f>3.99/247</f>
        <v>0.016153846153846154</v>
      </c>
      <c r="E37" s="230">
        <f>30.13/247</f>
        <v>0.12198380566801618</v>
      </c>
      <c r="F37" s="306">
        <v>1.6892307</v>
      </c>
      <c r="G37" s="151"/>
    </row>
    <row r="38" spans="1:7" ht="12.75">
      <c r="A38" s="158"/>
      <c r="B38" s="63">
        <v>37256</v>
      </c>
      <c r="C38" s="221">
        <v>2</v>
      </c>
      <c r="D38" s="222">
        <f>33.36/247</f>
        <v>0.13506072874493927</v>
      </c>
      <c r="E38" s="222">
        <f>20.18/247</f>
        <v>0.08170040485829959</v>
      </c>
      <c r="F38" s="306">
        <f aca="true" t="shared" si="2" ref="F38:F47">IF(D38="","",F37-D38+E38)</f>
        <v>1.6358703761133604</v>
      </c>
      <c r="G38" s="151"/>
    </row>
    <row r="39" spans="1:7" ht="12.75">
      <c r="A39" s="158"/>
      <c r="B39" s="63">
        <v>37287</v>
      </c>
      <c r="C39" s="228">
        <v>2</v>
      </c>
      <c r="D39" s="230">
        <f>86.34/247</f>
        <v>0.3495546558704454</v>
      </c>
      <c r="E39" s="230">
        <f>0/247</f>
        <v>0</v>
      </c>
      <c r="F39" s="306">
        <f t="shared" si="2"/>
        <v>1.286315720242915</v>
      </c>
      <c r="G39" s="151"/>
    </row>
    <row r="40" spans="1:7" ht="12.75">
      <c r="A40" s="158"/>
      <c r="B40" s="63">
        <v>37315</v>
      </c>
      <c r="C40" s="228">
        <v>2</v>
      </c>
      <c r="D40" s="230">
        <f>46.59/247</f>
        <v>0.18862348178137653</v>
      </c>
      <c r="E40" s="230">
        <f>10.22/247</f>
        <v>0.04137651821862348</v>
      </c>
      <c r="F40" s="306">
        <f t="shared" si="2"/>
        <v>1.1390687566801618</v>
      </c>
      <c r="G40" s="151"/>
    </row>
    <row r="41" spans="1:7" ht="12.75">
      <c r="A41" s="158"/>
      <c r="B41" s="63">
        <v>37346</v>
      </c>
      <c r="C41" s="228">
        <v>2</v>
      </c>
      <c r="D41" s="230">
        <f>7.72/247</f>
        <v>0.03125506072874494</v>
      </c>
      <c r="E41" s="230">
        <f aca="true" t="shared" si="3" ref="E41:E58">0/247</f>
        <v>0</v>
      </c>
      <c r="F41" s="306">
        <f t="shared" si="2"/>
        <v>1.1078136959514169</v>
      </c>
      <c r="G41" s="151"/>
    </row>
    <row r="42" spans="1:7" ht="12.75">
      <c r="A42" s="158"/>
      <c r="B42" s="63">
        <v>37376</v>
      </c>
      <c r="C42" s="228">
        <v>2</v>
      </c>
      <c r="D42" s="230">
        <f>0.17/247</f>
        <v>0.000688259109311741</v>
      </c>
      <c r="E42" s="230">
        <f t="shared" si="3"/>
        <v>0</v>
      </c>
      <c r="F42" s="306">
        <f t="shared" si="2"/>
        <v>1.107125436842105</v>
      </c>
      <c r="G42" s="151"/>
    </row>
    <row r="43" spans="1:7" ht="12.75">
      <c r="A43" s="158"/>
      <c r="B43" s="63">
        <v>37407</v>
      </c>
      <c r="C43" s="228">
        <v>2</v>
      </c>
      <c r="D43" s="230">
        <f>4.04/247</f>
        <v>0.016356275303643725</v>
      </c>
      <c r="E43" s="230">
        <f t="shared" si="3"/>
        <v>0</v>
      </c>
      <c r="F43" s="306">
        <f t="shared" si="2"/>
        <v>1.0907691615384614</v>
      </c>
      <c r="G43" s="151"/>
    </row>
    <row r="44" spans="1:7" ht="12.75">
      <c r="A44" s="158"/>
      <c r="B44" s="63">
        <v>37437</v>
      </c>
      <c r="C44" s="228">
        <v>2</v>
      </c>
      <c r="D44" s="230">
        <f>2.3/247</f>
        <v>0.009311740890688258</v>
      </c>
      <c r="E44" s="230">
        <f t="shared" si="3"/>
        <v>0</v>
      </c>
      <c r="F44" s="306">
        <f t="shared" si="2"/>
        <v>1.0814574206477732</v>
      </c>
      <c r="G44" s="151"/>
    </row>
    <row r="45" spans="1:7" ht="12.75">
      <c r="A45" s="158"/>
      <c r="B45" s="63">
        <v>37468</v>
      </c>
      <c r="C45" s="228">
        <v>2</v>
      </c>
      <c r="D45" s="230">
        <f>0.98/247</f>
        <v>0.003967611336032389</v>
      </c>
      <c r="E45" s="230">
        <f t="shared" si="3"/>
        <v>0</v>
      </c>
      <c r="F45" s="306">
        <f t="shared" si="2"/>
        <v>1.0774898093117409</v>
      </c>
      <c r="G45" s="151"/>
    </row>
    <row r="46" spans="1:7" ht="12.75">
      <c r="A46" s="158"/>
      <c r="B46" s="63">
        <v>37499</v>
      </c>
      <c r="C46" s="228">
        <v>2</v>
      </c>
      <c r="D46" s="230">
        <f>12.36/247</f>
        <v>0.05004048582995951</v>
      </c>
      <c r="E46" s="230">
        <f t="shared" si="3"/>
        <v>0</v>
      </c>
      <c r="F46" s="306">
        <f t="shared" si="2"/>
        <v>1.0274493234817814</v>
      </c>
      <c r="G46" s="151"/>
    </row>
    <row r="47" spans="1:7" ht="13.5" thickBot="1">
      <c r="A47" s="148"/>
      <c r="B47" s="69">
        <v>37529</v>
      </c>
      <c r="C47" s="231">
        <v>2</v>
      </c>
      <c r="D47" s="232">
        <f>32.84/247</f>
        <v>0.13295546558704455</v>
      </c>
      <c r="E47" s="232">
        <f t="shared" si="3"/>
        <v>0</v>
      </c>
      <c r="F47" s="311">
        <f t="shared" si="2"/>
        <v>0.8944938578947369</v>
      </c>
      <c r="G47" s="121"/>
    </row>
    <row r="48" spans="1:7" ht="25.5">
      <c r="A48" s="181" t="s">
        <v>10</v>
      </c>
      <c r="B48" s="63">
        <v>37560</v>
      </c>
      <c r="C48" s="223">
        <v>2</v>
      </c>
      <c r="D48" s="223">
        <f>24.99/247</f>
        <v>0.1011740890688259</v>
      </c>
      <c r="E48" s="224">
        <f t="shared" si="3"/>
        <v>0</v>
      </c>
      <c r="F48" s="242">
        <v>0.7226315</v>
      </c>
      <c r="G48" s="220" t="s">
        <v>19</v>
      </c>
    </row>
    <row r="49" spans="1:7" ht="12.75">
      <c r="A49" s="158"/>
      <c r="B49" s="63">
        <v>37590</v>
      </c>
      <c r="C49" s="228">
        <v>2</v>
      </c>
      <c r="D49" s="229">
        <f>24.91/247</f>
        <v>0.1008502024291498</v>
      </c>
      <c r="E49" s="230">
        <f t="shared" si="3"/>
        <v>0</v>
      </c>
      <c r="F49" s="306">
        <f aca="true" t="shared" si="4" ref="F49:F60">IF(D49="","",F48-D49+E49)</f>
        <v>0.6217812975708502</v>
      </c>
      <c r="G49" s="151"/>
    </row>
    <row r="50" spans="1:7" ht="12.75">
      <c r="A50" s="158"/>
      <c r="B50" s="63">
        <v>37621</v>
      </c>
      <c r="C50" s="221">
        <v>2</v>
      </c>
      <c r="D50" s="229">
        <f>41.14/247</f>
        <v>0.1665587044534413</v>
      </c>
      <c r="E50" s="230">
        <f t="shared" si="3"/>
        <v>0</v>
      </c>
      <c r="F50" s="306">
        <f t="shared" si="4"/>
        <v>0.4552225931174089</v>
      </c>
      <c r="G50" s="151"/>
    </row>
    <row r="51" spans="1:7" ht="12.75">
      <c r="A51" s="158"/>
      <c r="B51" s="63">
        <v>37652</v>
      </c>
      <c r="C51" s="228">
        <v>2</v>
      </c>
      <c r="D51" s="229">
        <f>62.21/247</f>
        <v>0.25186234817813763</v>
      </c>
      <c r="E51" s="230">
        <f t="shared" si="3"/>
        <v>0</v>
      </c>
      <c r="F51" s="306">
        <f t="shared" si="4"/>
        <v>0.2033602449392713</v>
      </c>
      <c r="G51" s="151"/>
    </row>
    <row r="52" spans="1:7" ht="12.75">
      <c r="A52" s="158"/>
      <c r="B52" s="63">
        <v>37680</v>
      </c>
      <c r="C52" s="228">
        <v>2</v>
      </c>
      <c r="D52" s="229">
        <f>26/247</f>
        <v>0.10526315789473684</v>
      </c>
      <c r="E52" s="230">
        <f t="shared" si="3"/>
        <v>0</v>
      </c>
      <c r="F52" s="306">
        <f t="shared" si="4"/>
        <v>0.09809708704453446</v>
      </c>
      <c r="G52" s="151"/>
    </row>
    <row r="53" spans="1:7" ht="12.75">
      <c r="A53" s="158"/>
      <c r="B53" s="63">
        <v>37711</v>
      </c>
      <c r="C53" s="228">
        <v>2</v>
      </c>
      <c r="D53" s="229">
        <f>0.14/247</f>
        <v>0.0005668016194331984</v>
      </c>
      <c r="E53" s="230">
        <f t="shared" si="3"/>
        <v>0</v>
      </c>
      <c r="F53" s="306">
        <f t="shared" si="4"/>
        <v>0.09753028542510125</v>
      </c>
      <c r="G53" s="151"/>
    </row>
    <row r="54" spans="1:7" ht="12.75">
      <c r="A54" s="158"/>
      <c r="B54" s="63">
        <v>37741</v>
      </c>
      <c r="C54" s="228">
        <v>2</v>
      </c>
      <c r="D54" s="229">
        <f>0/247</f>
        <v>0</v>
      </c>
      <c r="E54" s="230">
        <f t="shared" si="3"/>
        <v>0</v>
      </c>
      <c r="F54" s="306">
        <f t="shared" si="4"/>
        <v>0.09753028542510125</v>
      </c>
      <c r="G54" s="151"/>
    </row>
    <row r="55" spans="1:7" ht="12.75">
      <c r="A55" s="158"/>
      <c r="B55" s="63">
        <v>37772</v>
      </c>
      <c r="C55" s="228">
        <v>2</v>
      </c>
      <c r="D55" s="229">
        <f>0/247</f>
        <v>0</v>
      </c>
      <c r="E55" s="230">
        <f t="shared" si="3"/>
        <v>0</v>
      </c>
      <c r="F55" s="306">
        <f t="shared" si="4"/>
        <v>0.09753028542510125</v>
      </c>
      <c r="G55" s="151"/>
    </row>
    <row r="56" spans="1:7" ht="13.5" thickBot="1">
      <c r="A56" s="158"/>
      <c r="B56" s="69">
        <v>37802</v>
      </c>
      <c r="C56" s="231">
        <v>2</v>
      </c>
      <c r="D56" s="232">
        <f>0.62/247</f>
        <v>0.0025101214574898786</v>
      </c>
      <c r="E56" s="232">
        <f t="shared" si="3"/>
        <v>0</v>
      </c>
      <c r="F56" s="311">
        <f t="shared" si="4"/>
        <v>0.09502016396761137</v>
      </c>
      <c r="G56" s="121"/>
    </row>
    <row r="57" spans="1:7" ht="12.75">
      <c r="A57" s="147" t="s">
        <v>13</v>
      </c>
      <c r="B57" s="63">
        <v>37833</v>
      </c>
      <c r="C57" s="228">
        <v>2</v>
      </c>
      <c r="D57" s="229">
        <f>0/247</f>
        <v>0</v>
      </c>
      <c r="E57" s="230">
        <f t="shared" si="3"/>
        <v>0</v>
      </c>
      <c r="F57" s="306">
        <f t="shared" si="4"/>
        <v>0.09502016396761137</v>
      </c>
      <c r="G57" s="151"/>
    </row>
    <row r="58" spans="1:7" ht="12.75">
      <c r="A58" s="158"/>
      <c r="B58" s="63">
        <v>37864</v>
      </c>
      <c r="C58" s="228">
        <v>2</v>
      </c>
      <c r="D58" s="229">
        <f>0.05/247</f>
        <v>0.00020242914979757087</v>
      </c>
      <c r="E58" s="230">
        <f t="shared" si="3"/>
        <v>0</v>
      </c>
      <c r="F58" s="306">
        <f t="shared" si="4"/>
        <v>0.0948177348178138</v>
      </c>
      <c r="G58" s="151"/>
    </row>
    <row r="59" spans="1:7" ht="12.75">
      <c r="A59" s="158"/>
      <c r="B59" s="63">
        <v>37894</v>
      </c>
      <c r="C59" s="228">
        <v>2</v>
      </c>
      <c r="D59" s="230">
        <f>0.07/247</f>
        <v>0.0002834008097165992</v>
      </c>
      <c r="E59" s="230">
        <f>6.91/247</f>
        <v>0.027975708502024292</v>
      </c>
      <c r="F59" s="306">
        <f t="shared" si="4"/>
        <v>0.12251004251012149</v>
      </c>
      <c r="G59" s="151"/>
    </row>
    <row r="60" spans="1:7" ht="12.75">
      <c r="A60" s="27"/>
      <c r="B60" s="63">
        <v>37925</v>
      </c>
      <c r="C60" s="228">
        <v>2</v>
      </c>
      <c r="D60" s="230">
        <f>0.74/247</f>
        <v>0.0029959514170040486</v>
      </c>
      <c r="E60" s="230">
        <f>0/247</f>
        <v>0</v>
      </c>
      <c r="F60" s="306">
        <f t="shared" si="4"/>
        <v>0.11951409109311743</v>
      </c>
      <c r="G60" s="195"/>
    </row>
    <row r="61" spans="1:7" ht="12.75">
      <c r="A61" s="158"/>
      <c r="B61" s="63">
        <v>37955</v>
      </c>
      <c r="C61" s="228">
        <v>2</v>
      </c>
      <c r="D61" s="229">
        <f>1.51/247</f>
        <v>0.00611336032388664</v>
      </c>
      <c r="E61" s="230">
        <f>0/247</f>
        <v>0</v>
      </c>
      <c r="F61" s="306">
        <f aca="true" t="shared" si="5" ref="F61:F66">F60-D61+E61</f>
        <v>0.1134007307692308</v>
      </c>
      <c r="G61" s="151"/>
    </row>
    <row r="62" spans="1:7" ht="12.75">
      <c r="A62" s="158"/>
      <c r="B62" s="63">
        <v>37986</v>
      </c>
      <c r="C62" s="228">
        <v>2</v>
      </c>
      <c r="D62" s="229">
        <f>7.21/247</f>
        <v>0.029190283400809716</v>
      </c>
      <c r="E62" s="230">
        <f>0/247</f>
        <v>0</v>
      </c>
      <c r="F62" s="306">
        <f t="shared" si="5"/>
        <v>0.08421044736842108</v>
      </c>
      <c r="G62" s="151"/>
    </row>
    <row r="63" spans="1:7" ht="12.75">
      <c r="A63" s="158"/>
      <c r="B63" s="63">
        <v>38017</v>
      </c>
      <c r="C63" s="228">
        <v>2</v>
      </c>
      <c r="D63" s="230">
        <f>12.29/247</f>
        <v>0.04975708502024291</v>
      </c>
      <c r="E63" s="230">
        <f>97.82/247</f>
        <v>0.39603238866396756</v>
      </c>
      <c r="F63" s="306">
        <f t="shared" si="5"/>
        <v>0.4304857510121457</v>
      </c>
      <c r="G63" s="151"/>
    </row>
    <row r="64" spans="1:7" ht="12.75">
      <c r="A64" s="158"/>
      <c r="B64" s="63">
        <v>38046</v>
      </c>
      <c r="C64" s="228">
        <v>2</v>
      </c>
      <c r="D64" s="230">
        <f>1.69/247</f>
        <v>0.006842105263157894</v>
      </c>
      <c r="E64" s="230">
        <f>7.51/247</f>
        <v>0.03040485829959514</v>
      </c>
      <c r="F64" s="306">
        <f t="shared" si="5"/>
        <v>0.454048504048583</v>
      </c>
      <c r="G64" s="151"/>
    </row>
    <row r="65" spans="1:7" ht="12.75">
      <c r="A65" s="158"/>
      <c r="B65" s="63">
        <v>38077</v>
      </c>
      <c r="C65" s="228">
        <v>2</v>
      </c>
      <c r="D65" s="230">
        <f>0.33/247</f>
        <v>0.0013360323886639678</v>
      </c>
      <c r="E65" s="230">
        <f>2.54/247</f>
        <v>0.0102834008097166</v>
      </c>
      <c r="F65" s="306">
        <f t="shared" si="5"/>
        <v>0.46299587246963564</v>
      </c>
      <c r="G65" s="151"/>
    </row>
    <row r="66" spans="1:7" ht="12.75">
      <c r="A66" s="158"/>
      <c r="B66" s="63">
        <v>38107</v>
      </c>
      <c r="C66" s="228">
        <v>2</v>
      </c>
      <c r="D66" s="230">
        <f aca="true" t="shared" si="6" ref="D66:E69">0/247</f>
        <v>0</v>
      </c>
      <c r="E66" s="230">
        <f t="shared" si="6"/>
        <v>0</v>
      </c>
      <c r="F66" s="306">
        <f t="shared" si="5"/>
        <v>0.46299587246963564</v>
      </c>
      <c r="G66" s="151"/>
    </row>
    <row r="67" spans="1:7" ht="12.75">
      <c r="A67" s="158"/>
      <c r="B67" s="63">
        <v>38138</v>
      </c>
      <c r="C67" s="228">
        <v>2</v>
      </c>
      <c r="D67" s="230">
        <f t="shared" si="6"/>
        <v>0</v>
      </c>
      <c r="E67" s="230">
        <f t="shared" si="6"/>
        <v>0</v>
      </c>
      <c r="F67" s="306">
        <f>F66-D67+E67</f>
        <v>0.46299587246963564</v>
      </c>
      <c r="G67" s="151"/>
    </row>
    <row r="68" spans="1:7" ht="13.5" thickBot="1">
      <c r="A68" s="148"/>
      <c r="B68" s="69">
        <v>38168</v>
      </c>
      <c r="C68" s="231">
        <v>2</v>
      </c>
      <c r="D68" s="232">
        <f t="shared" si="6"/>
        <v>0</v>
      </c>
      <c r="E68" s="232">
        <f t="shared" si="6"/>
        <v>0</v>
      </c>
      <c r="F68" s="311">
        <f>F67-D68+E68</f>
        <v>0.46299587246963564</v>
      </c>
      <c r="G68" s="282"/>
    </row>
    <row r="69" spans="1:7" ht="15" customHeight="1" thickBot="1">
      <c r="A69" s="127" t="s">
        <v>42</v>
      </c>
      <c r="B69" s="346" t="s">
        <v>60</v>
      </c>
      <c r="C69" s="339"/>
      <c r="D69" s="339"/>
      <c r="E69" s="339"/>
      <c r="F69" s="339"/>
      <c r="G69" s="337"/>
    </row>
  </sheetData>
  <mergeCells count="1">
    <mergeCell ref="B69:G69"/>
  </mergeCells>
  <printOptions/>
  <pageMargins left="0.75" right="0.75" top="0.71" bottom="0.54" header="0.42" footer="0.34"/>
  <pageSetup horizontalDpi="300" verticalDpi="300" orientation="landscape" paperSize="9" r:id="rId2"/>
  <headerFooter alignWithMargins="0">
    <oddHeader>&amp;LDate : &amp;D&amp;RFilename : g:\rivops\state\allocatn\&amp;F</oddHeader>
    <oddFooter>&amp;CPage &amp;P</oddFooter>
  </headerFooter>
  <drawing r:id="rId1"/>
</worksheet>
</file>

<file path=xl/worksheets/sheet13.xml><?xml version="1.0" encoding="utf-8"?>
<worksheet xmlns="http://schemas.openxmlformats.org/spreadsheetml/2006/main" xmlns:r="http://schemas.openxmlformats.org/officeDocument/2006/relationships">
  <dimension ref="A1:H49"/>
  <sheetViews>
    <sheetView showGridLines="0" workbookViewId="0" topLeftCell="A1">
      <selection activeCell="I2" sqref="I2"/>
    </sheetView>
  </sheetViews>
  <sheetFormatPr defaultColWidth="9.140625" defaultRowHeight="12.75"/>
  <cols>
    <col min="1" max="1" width="9.140625" style="27" customWidth="1"/>
    <col min="2" max="2" width="10.57421875" style="5" customWidth="1"/>
    <col min="3" max="3" width="10.00390625" style="28" customWidth="1"/>
    <col min="4" max="4" width="11.00390625" style="28" customWidth="1"/>
    <col min="5" max="5" width="11.421875" style="28" customWidth="1"/>
    <col min="6" max="6" width="11.7109375" style="5" customWidth="1"/>
    <col min="7" max="7" width="12.8515625" style="5" customWidth="1"/>
    <col min="8" max="8" width="54.140625" style="5" customWidth="1"/>
    <col min="9" max="16384" width="9.140625" style="5" customWidth="1"/>
  </cols>
  <sheetData>
    <row r="1" spans="1:8" ht="24" customHeight="1" thickBot="1">
      <c r="A1" s="36" t="s">
        <v>192</v>
      </c>
      <c r="B1" s="2"/>
      <c r="C1" s="22"/>
      <c r="D1" s="22"/>
      <c r="E1" s="22"/>
      <c r="F1" s="2"/>
      <c r="G1" s="2"/>
      <c r="H1" s="3"/>
    </row>
    <row r="2" spans="1:8" ht="15.75" customHeight="1" thickBot="1">
      <c r="A2" s="29" t="s">
        <v>80</v>
      </c>
      <c r="B2" s="33"/>
      <c r="C2" s="34"/>
      <c r="D2" s="34"/>
      <c r="E2" s="34"/>
      <c r="F2" s="33"/>
      <c r="G2" s="33"/>
      <c r="H2" s="196" t="s">
        <v>81</v>
      </c>
    </row>
    <row r="3" spans="1:8" ht="110.25" customHeight="1" thickBot="1">
      <c r="A3" s="6"/>
      <c r="B3" s="2"/>
      <c r="C3" s="22"/>
      <c r="D3" s="22"/>
      <c r="E3" s="22"/>
      <c r="F3" s="2"/>
      <c r="G3" s="2"/>
      <c r="H3" s="3"/>
    </row>
    <row r="4" spans="1:8" ht="15.75" customHeight="1" thickBot="1">
      <c r="A4" s="29" t="s">
        <v>23</v>
      </c>
      <c r="B4" s="33"/>
      <c r="C4" s="34"/>
      <c r="D4" s="34"/>
      <c r="E4" s="34"/>
      <c r="F4" s="33"/>
      <c r="G4" s="33"/>
      <c r="H4" s="38"/>
    </row>
    <row r="5" spans="1:8" ht="24">
      <c r="A5" s="39"/>
      <c r="B5" s="40" t="s">
        <v>83</v>
      </c>
      <c r="C5" s="41" t="s">
        <v>84</v>
      </c>
      <c r="D5" s="41" t="s">
        <v>85</v>
      </c>
      <c r="E5" s="51" t="s">
        <v>213</v>
      </c>
      <c r="F5" s="52"/>
      <c r="G5" s="42" t="s">
        <v>86</v>
      </c>
      <c r="H5" s="43"/>
    </row>
    <row r="6" spans="1:8" ht="23.25" customHeight="1" thickBot="1">
      <c r="A6" s="44" t="s">
        <v>87</v>
      </c>
      <c r="B6" s="45" t="s">
        <v>86</v>
      </c>
      <c r="C6" s="46" t="s">
        <v>86</v>
      </c>
      <c r="D6" s="46" t="s">
        <v>88</v>
      </c>
      <c r="E6" s="49" t="s">
        <v>214</v>
      </c>
      <c r="F6" s="50" t="s">
        <v>215</v>
      </c>
      <c r="G6" s="47" t="s">
        <v>89</v>
      </c>
      <c r="H6" s="48" t="s">
        <v>90</v>
      </c>
    </row>
    <row r="7" spans="1:8" ht="15.75" customHeight="1" thickBot="1">
      <c r="A7" s="74" t="s">
        <v>180</v>
      </c>
      <c r="B7" s="75">
        <v>28307</v>
      </c>
      <c r="C7" s="76">
        <v>100</v>
      </c>
      <c r="D7" s="76">
        <v>0</v>
      </c>
      <c r="E7" s="76"/>
      <c r="F7" s="77"/>
      <c r="G7" s="78" t="s">
        <v>92</v>
      </c>
      <c r="H7" s="79" t="s">
        <v>193</v>
      </c>
    </row>
    <row r="8" spans="1:8" ht="15.75" customHeight="1" thickBot="1">
      <c r="A8" s="74" t="s">
        <v>181</v>
      </c>
      <c r="B8" s="75">
        <v>28672</v>
      </c>
      <c r="C8" s="76">
        <v>100</v>
      </c>
      <c r="D8" s="76">
        <v>0</v>
      </c>
      <c r="E8" s="76"/>
      <c r="F8" s="77"/>
      <c r="G8" s="78" t="s">
        <v>92</v>
      </c>
      <c r="H8" s="79" t="s">
        <v>193</v>
      </c>
    </row>
    <row r="9" spans="1:8" ht="15.75" customHeight="1" thickBot="1">
      <c r="A9" s="74" t="s">
        <v>182</v>
      </c>
      <c r="B9" s="75">
        <v>29037</v>
      </c>
      <c r="C9" s="76">
        <v>100</v>
      </c>
      <c r="D9" s="76">
        <v>0</v>
      </c>
      <c r="E9" s="76"/>
      <c r="F9" s="77"/>
      <c r="G9" s="78" t="s">
        <v>92</v>
      </c>
      <c r="H9" s="79" t="s">
        <v>193</v>
      </c>
    </row>
    <row r="10" spans="1:8" ht="15.75" customHeight="1" thickBot="1">
      <c r="A10" s="74" t="s">
        <v>141</v>
      </c>
      <c r="B10" s="75">
        <v>29416</v>
      </c>
      <c r="C10" s="76">
        <v>33</v>
      </c>
      <c r="D10" s="76">
        <v>0</v>
      </c>
      <c r="E10" s="76"/>
      <c r="F10" s="77"/>
      <c r="G10" s="78" t="s">
        <v>92</v>
      </c>
      <c r="H10" s="79" t="s">
        <v>193</v>
      </c>
    </row>
    <row r="11" spans="1:8" ht="15.75" customHeight="1">
      <c r="A11" s="56" t="s">
        <v>91</v>
      </c>
      <c r="B11" s="57">
        <v>29770</v>
      </c>
      <c r="C11" s="58">
        <v>0</v>
      </c>
      <c r="D11" s="58">
        <v>0</v>
      </c>
      <c r="E11" s="58"/>
      <c r="F11" s="59"/>
      <c r="G11" s="60" t="s">
        <v>92</v>
      </c>
      <c r="H11" s="61" t="s">
        <v>166</v>
      </c>
    </row>
    <row r="12" spans="1:8" ht="15.75" customHeight="1">
      <c r="A12" s="62"/>
      <c r="B12" s="63">
        <v>29833</v>
      </c>
      <c r="C12" s="64">
        <v>33</v>
      </c>
      <c r="D12" s="64">
        <v>0</v>
      </c>
      <c r="E12" s="64"/>
      <c r="F12" s="65"/>
      <c r="G12" s="66" t="s">
        <v>92</v>
      </c>
      <c r="H12" s="67"/>
    </row>
    <row r="13" spans="1:8" ht="15.75" customHeight="1" thickBot="1">
      <c r="A13" s="68"/>
      <c r="B13" s="69">
        <v>29899</v>
      </c>
      <c r="C13" s="70">
        <v>55</v>
      </c>
      <c r="D13" s="70">
        <v>0</v>
      </c>
      <c r="E13" s="70"/>
      <c r="F13" s="71"/>
      <c r="G13" s="72" t="s">
        <v>92</v>
      </c>
      <c r="H13" s="73"/>
    </row>
    <row r="14" spans="1:8" ht="15.75" customHeight="1" thickBot="1">
      <c r="A14" s="56" t="s">
        <v>93</v>
      </c>
      <c r="B14" s="57">
        <v>30148</v>
      </c>
      <c r="C14" s="58">
        <v>10</v>
      </c>
      <c r="D14" s="58">
        <v>0</v>
      </c>
      <c r="E14" s="58"/>
      <c r="F14" s="59"/>
      <c r="G14" s="60" t="s">
        <v>92</v>
      </c>
      <c r="H14" s="61"/>
    </row>
    <row r="15" spans="1:8" ht="15.75" customHeight="1">
      <c r="A15" s="56" t="s">
        <v>95</v>
      </c>
      <c r="B15" s="57">
        <v>30502</v>
      </c>
      <c r="C15" s="58">
        <v>40</v>
      </c>
      <c r="D15" s="58">
        <v>0</v>
      </c>
      <c r="E15" s="58"/>
      <c r="F15" s="59"/>
      <c r="G15" s="60" t="s">
        <v>92</v>
      </c>
      <c r="H15" s="61"/>
    </row>
    <row r="16" spans="1:8" ht="15.75" customHeight="1">
      <c r="A16" s="62"/>
      <c r="B16" s="63">
        <v>30533</v>
      </c>
      <c r="C16" s="64">
        <v>60</v>
      </c>
      <c r="D16" s="64">
        <v>0</v>
      </c>
      <c r="E16" s="64"/>
      <c r="F16" s="65"/>
      <c r="G16" s="66" t="s">
        <v>92</v>
      </c>
      <c r="H16" s="67"/>
    </row>
    <row r="17" spans="1:8" ht="15.75" customHeight="1">
      <c r="A17" s="62"/>
      <c r="B17" s="63">
        <v>30559</v>
      </c>
      <c r="C17" s="64">
        <v>70</v>
      </c>
      <c r="D17" s="64">
        <v>0</v>
      </c>
      <c r="E17" s="64"/>
      <c r="F17" s="65"/>
      <c r="G17" s="66" t="s">
        <v>92</v>
      </c>
      <c r="H17" s="67"/>
    </row>
    <row r="18" spans="1:8" ht="15.75" customHeight="1" thickBot="1">
      <c r="A18" s="68"/>
      <c r="B18" s="69">
        <v>30573</v>
      </c>
      <c r="C18" s="70">
        <v>100</v>
      </c>
      <c r="D18" s="70">
        <v>0</v>
      </c>
      <c r="E18" s="70"/>
      <c r="F18" s="71"/>
      <c r="G18" s="72" t="s">
        <v>92</v>
      </c>
      <c r="H18" s="73"/>
    </row>
    <row r="19" spans="1:8" ht="15.75" customHeight="1" thickBot="1">
      <c r="A19" s="56" t="s">
        <v>96</v>
      </c>
      <c r="B19" s="57">
        <v>30869</v>
      </c>
      <c r="C19" s="58">
        <v>100</v>
      </c>
      <c r="D19" s="58">
        <v>0</v>
      </c>
      <c r="E19" s="58"/>
      <c r="F19" s="59"/>
      <c r="G19" s="60" t="s">
        <v>92</v>
      </c>
      <c r="H19" s="61"/>
    </row>
    <row r="20" spans="1:8" ht="15.75" customHeight="1">
      <c r="A20" s="56" t="s">
        <v>97</v>
      </c>
      <c r="B20" s="57">
        <v>31254</v>
      </c>
      <c r="C20" s="58">
        <v>67</v>
      </c>
      <c r="D20" s="58">
        <v>0</v>
      </c>
      <c r="E20" s="58"/>
      <c r="F20" s="59"/>
      <c r="G20" s="60" t="s">
        <v>92</v>
      </c>
      <c r="H20" s="61"/>
    </row>
    <row r="21" spans="1:8" ht="15.75" customHeight="1">
      <c r="A21" s="62"/>
      <c r="B21" s="63">
        <v>31281</v>
      </c>
      <c r="C21" s="64">
        <v>80</v>
      </c>
      <c r="D21" s="64">
        <v>0</v>
      </c>
      <c r="E21" s="64"/>
      <c r="F21" s="65"/>
      <c r="G21" s="66" t="s">
        <v>92</v>
      </c>
      <c r="H21" s="67"/>
    </row>
    <row r="22" spans="1:8" ht="15.75" customHeight="1" thickBot="1">
      <c r="A22" s="68"/>
      <c r="B22" s="69">
        <v>31288</v>
      </c>
      <c r="C22" s="70">
        <v>100</v>
      </c>
      <c r="D22" s="70">
        <v>0</v>
      </c>
      <c r="E22" s="70"/>
      <c r="F22" s="71"/>
      <c r="G22" s="72" t="s">
        <v>92</v>
      </c>
      <c r="H22" s="73"/>
    </row>
    <row r="23" spans="1:8" ht="15.75" customHeight="1">
      <c r="A23" s="56" t="s">
        <v>98</v>
      </c>
      <c r="B23" s="57">
        <v>31638</v>
      </c>
      <c r="C23" s="58">
        <v>80</v>
      </c>
      <c r="D23" s="58">
        <v>0</v>
      </c>
      <c r="E23" s="58"/>
      <c r="F23" s="59"/>
      <c r="G23" s="60" t="s">
        <v>92</v>
      </c>
      <c r="H23" s="61"/>
    </row>
    <row r="24" spans="1:8" ht="15.75" customHeight="1">
      <c r="A24" s="62"/>
      <c r="B24" s="63">
        <v>31651</v>
      </c>
      <c r="C24" s="64">
        <v>95</v>
      </c>
      <c r="D24" s="64">
        <v>0</v>
      </c>
      <c r="E24" s="64"/>
      <c r="F24" s="65"/>
      <c r="G24" s="66" t="s">
        <v>92</v>
      </c>
      <c r="H24" s="67"/>
    </row>
    <row r="25" spans="1:8" ht="15.75" customHeight="1" thickBot="1">
      <c r="A25" s="68"/>
      <c r="B25" s="69">
        <v>31674</v>
      </c>
      <c r="C25" s="70">
        <v>100</v>
      </c>
      <c r="D25" s="70">
        <v>0</v>
      </c>
      <c r="E25" s="70"/>
      <c r="F25" s="71"/>
      <c r="G25" s="72" t="s">
        <v>92</v>
      </c>
      <c r="H25" s="73"/>
    </row>
    <row r="26" spans="1:8" ht="15.75" customHeight="1">
      <c r="A26" s="56" t="s">
        <v>99</v>
      </c>
      <c r="B26" s="57">
        <v>32031</v>
      </c>
      <c r="C26" s="58">
        <v>60</v>
      </c>
      <c r="D26" s="58">
        <v>0</v>
      </c>
      <c r="E26" s="58"/>
      <c r="F26" s="59"/>
      <c r="G26" s="60" t="s">
        <v>92</v>
      </c>
      <c r="H26" s="61" t="s">
        <v>194</v>
      </c>
    </row>
    <row r="27" spans="1:8" ht="15.75" customHeight="1">
      <c r="A27" s="62"/>
      <c r="B27" s="63">
        <v>32091</v>
      </c>
      <c r="C27" s="64">
        <v>65</v>
      </c>
      <c r="D27" s="64">
        <v>0</v>
      </c>
      <c r="E27" s="64"/>
      <c r="F27" s="65"/>
      <c r="G27" s="66" t="s">
        <v>92</v>
      </c>
      <c r="H27" s="67"/>
    </row>
    <row r="28" spans="1:8" ht="15.75" customHeight="1">
      <c r="A28" s="62"/>
      <c r="B28" s="63">
        <v>32122</v>
      </c>
      <c r="C28" s="64">
        <v>75</v>
      </c>
      <c r="D28" s="64">
        <v>0</v>
      </c>
      <c r="E28" s="64"/>
      <c r="F28" s="65"/>
      <c r="G28" s="66" t="s">
        <v>92</v>
      </c>
      <c r="H28" s="67"/>
    </row>
    <row r="29" spans="1:8" ht="15.75" customHeight="1">
      <c r="A29" s="62"/>
      <c r="B29" s="63">
        <v>32164</v>
      </c>
      <c r="C29" s="64">
        <v>85</v>
      </c>
      <c r="D29" s="64">
        <v>0</v>
      </c>
      <c r="E29" s="64"/>
      <c r="F29" s="65"/>
      <c r="G29" s="66" t="s">
        <v>92</v>
      </c>
      <c r="H29" s="67"/>
    </row>
    <row r="30" spans="1:8" ht="15.75" customHeight="1" thickBot="1">
      <c r="A30" s="68"/>
      <c r="B30" s="69">
        <v>32175</v>
      </c>
      <c r="C30" s="70">
        <v>95</v>
      </c>
      <c r="D30" s="70">
        <v>0</v>
      </c>
      <c r="E30" s="70"/>
      <c r="F30" s="71"/>
      <c r="G30" s="72" t="s">
        <v>92</v>
      </c>
      <c r="H30" s="73"/>
    </row>
    <row r="31" spans="1:8" ht="15.75" customHeight="1" thickBot="1">
      <c r="A31" s="56" t="s">
        <v>100</v>
      </c>
      <c r="B31" s="57">
        <v>32420</v>
      </c>
      <c r="C31" s="58">
        <v>100</v>
      </c>
      <c r="D31" s="58">
        <v>0</v>
      </c>
      <c r="E31" s="58"/>
      <c r="F31" s="59"/>
      <c r="G31" s="60" t="s">
        <v>92</v>
      </c>
      <c r="H31" s="61"/>
    </row>
    <row r="32" spans="1:8" ht="15.75" customHeight="1" thickBot="1">
      <c r="A32" s="74" t="s">
        <v>101</v>
      </c>
      <c r="B32" s="75">
        <v>32727</v>
      </c>
      <c r="C32" s="76">
        <v>100</v>
      </c>
      <c r="D32" s="76">
        <v>0</v>
      </c>
      <c r="E32" s="76"/>
      <c r="F32" s="77"/>
      <c r="G32" s="78" t="s">
        <v>92</v>
      </c>
      <c r="H32" s="79"/>
    </row>
    <row r="33" spans="1:8" ht="15.75" customHeight="1" thickBot="1">
      <c r="A33" s="74" t="s">
        <v>102</v>
      </c>
      <c r="B33" s="75">
        <v>33098</v>
      </c>
      <c r="C33" s="76">
        <v>100</v>
      </c>
      <c r="D33" s="76">
        <v>0</v>
      </c>
      <c r="E33" s="76"/>
      <c r="F33" s="77"/>
      <c r="G33" s="78" t="s">
        <v>92</v>
      </c>
      <c r="H33" s="79"/>
    </row>
    <row r="34" spans="1:8" ht="15.75" customHeight="1" thickBot="1">
      <c r="A34" s="74" t="s">
        <v>103</v>
      </c>
      <c r="B34" s="75">
        <v>33491</v>
      </c>
      <c r="C34" s="76">
        <v>100</v>
      </c>
      <c r="D34" s="76">
        <v>0</v>
      </c>
      <c r="E34" s="76"/>
      <c r="F34" s="77"/>
      <c r="G34" s="78" t="s">
        <v>104</v>
      </c>
      <c r="H34" s="79" t="s">
        <v>195</v>
      </c>
    </row>
    <row r="35" spans="1:8" ht="15.75" customHeight="1">
      <c r="A35" s="56" t="s">
        <v>105</v>
      </c>
      <c r="B35" s="57">
        <v>33875</v>
      </c>
      <c r="C35" s="58">
        <v>15</v>
      </c>
      <c r="D35" s="58">
        <v>0</v>
      </c>
      <c r="E35" s="58"/>
      <c r="F35" s="59"/>
      <c r="G35" s="60" t="s">
        <v>104</v>
      </c>
      <c r="H35" s="61" t="s">
        <v>196</v>
      </c>
    </row>
    <row r="36" spans="1:8" ht="15.75" customHeight="1">
      <c r="A36" s="62"/>
      <c r="B36" s="63">
        <v>33952</v>
      </c>
      <c r="C36" s="64">
        <v>20</v>
      </c>
      <c r="D36" s="64">
        <v>0</v>
      </c>
      <c r="E36" s="64"/>
      <c r="F36" s="65"/>
      <c r="G36" s="66" t="s">
        <v>107</v>
      </c>
      <c r="H36" s="67"/>
    </row>
    <row r="37" spans="1:8" ht="15.75" customHeight="1">
      <c r="A37" s="62"/>
      <c r="B37" s="63">
        <v>33974</v>
      </c>
      <c r="C37" s="64">
        <v>25</v>
      </c>
      <c r="D37" s="64">
        <v>0</v>
      </c>
      <c r="E37" s="64"/>
      <c r="F37" s="65"/>
      <c r="G37" s="66" t="s">
        <v>107</v>
      </c>
      <c r="H37" s="67"/>
    </row>
    <row r="38" spans="1:8" ht="15.75" customHeight="1" thickBot="1">
      <c r="A38" s="68"/>
      <c r="B38" s="69">
        <v>34002</v>
      </c>
      <c r="C38" s="70">
        <v>29</v>
      </c>
      <c r="D38" s="70">
        <v>0</v>
      </c>
      <c r="E38" s="70"/>
      <c r="F38" s="71"/>
      <c r="G38" s="72" t="s">
        <v>107</v>
      </c>
      <c r="H38" s="73"/>
    </row>
    <row r="39" spans="1:8" ht="15.75" customHeight="1">
      <c r="A39" s="56" t="s">
        <v>106</v>
      </c>
      <c r="B39" s="57">
        <v>34229</v>
      </c>
      <c r="C39" s="58">
        <v>15</v>
      </c>
      <c r="D39" s="58">
        <v>0</v>
      </c>
      <c r="E39" s="58"/>
      <c r="F39" s="59"/>
      <c r="G39" s="60" t="s">
        <v>104</v>
      </c>
      <c r="H39" s="61"/>
    </row>
    <row r="40" spans="1:8" ht="15.75" customHeight="1">
      <c r="A40" s="62"/>
      <c r="B40" s="63">
        <v>34318</v>
      </c>
      <c r="C40" s="64">
        <v>27</v>
      </c>
      <c r="D40" s="64">
        <v>0</v>
      </c>
      <c r="E40" s="64"/>
      <c r="F40" s="65"/>
      <c r="G40" s="66" t="s">
        <v>104</v>
      </c>
      <c r="H40" s="67"/>
    </row>
    <row r="41" spans="1:8" ht="15.75" customHeight="1" thickBot="1">
      <c r="A41" s="68"/>
      <c r="B41" s="69">
        <v>34362</v>
      </c>
      <c r="C41" s="70">
        <v>27</v>
      </c>
      <c r="D41" s="81" t="s">
        <v>197</v>
      </c>
      <c r="E41" s="70"/>
      <c r="F41" s="71"/>
      <c r="G41" s="72" t="s">
        <v>104</v>
      </c>
      <c r="H41" s="73" t="s">
        <v>198</v>
      </c>
    </row>
    <row r="42" spans="1:8" ht="15.75" customHeight="1" thickBot="1">
      <c r="A42" s="74" t="s">
        <v>108</v>
      </c>
      <c r="B42" s="75">
        <v>34611</v>
      </c>
      <c r="C42" s="76">
        <v>0</v>
      </c>
      <c r="D42" s="76">
        <v>0</v>
      </c>
      <c r="E42" s="76"/>
      <c r="F42" s="77"/>
      <c r="G42" s="78"/>
      <c r="H42" s="79"/>
    </row>
    <row r="43" spans="1:8" ht="15.75" customHeight="1">
      <c r="A43" s="56" t="s">
        <v>109</v>
      </c>
      <c r="B43" s="57">
        <v>34973</v>
      </c>
      <c r="C43" s="58">
        <v>0</v>
      </c>
      <c r="D43" s="58">
        <v>0</v>
      </c>
      <c r="E43" s="58"/>
      <c r="F43" s="59"/>
      <c r="G43" s="60"/>
      <c r="H43" s="61"/>
    </row>
    <row r="44" spans="1:8" ht="15.75" customHeight="1">
      <c r="A44" s="62"/>
      <c r="B44" s="63">
        <v>35040</v>
      </c>
      <c r="C44" s="64">
        <v>10</v>
      </c>
      <c r="D44" s="64">
        <v>0</v>
      </c>
      <c r="E44" s="64"/>
      <c r="F44" s="65"/>
      <c r="G44" s="66"/>
      <c r="H44" s="67"/>
    </row>
    <row r="45" spans="1:8" ht="15.75" customHeight="1">
      <c r="A45" s="62"/>
      <c r="B45" s="63">
        <v>35052</v>
      </c>
      <c r="C45" s="64">
        <v>15</v>
      </c>
      <c r="D45" s="64">
        <v>0</v>
      </c>
      <c r="E45" s="64"/>
      <c r="F45" s="65"/>
      <c r="G45" s="66"/>
      <c r="H45" s="67"/>
    </row>
    <row r="46" spans="1:8" ht="15.75" customHeight="1" thickBot="1">
      <c r="A46" s="68"/>
      <c r="B46" s="69">
        <v>35130</v>
      </c>
      <c r="C46" s="70">
        <v>30</v>
      </c>
      <c r="D46" s="70">
        <v>0</v>
      </c>
      <c r="E46" s="70"/>
      <c r="F46" s="71"/>
      <c r="G46" s="72"/>
      <c r="H46" s="73"/>
    </row>
    <row r="47" spans="1:8" ht="15.75" customHeight="1" thickBot="1">
      <c r="A47" s="74" t="s">
        <v>110</v>
      </c>
      <c r="B47" s="75">
        <v>35342</v>
      </c>
      <c r="C47" s="76">
        <v>100</v>
      </c>
      <c r="D47" s="76">
        <v>0</v>
      </c>
      <c r="E47" s="76"/>
      <c r="F47" s="77"/>
      <c r="G47" s="78"/>
      <c r="H47" s="79"/>
    </row>
    <row r="48" spans="1:8" ht="15.75" customHeight="1" thickBot="1">
      <c r="A48" s="74" t="s">
        <v>112</v>
      </c>
      <c r="B48" s="75">
        <v>35719</v>
      </c>
      <c r="C48" s="76">
        <v>100</v>
      </c>
      <c r="D48" s="76">
        <v>0</v>
      </c>
      <c r="E48" s="76"/>
      <c r="F48" s="77"/>
      <c r="G48" s="78" t="s">
        <v>132</v>
      </c>
      <c r="H48" s="79"/>
    </row>
    <row r="49" spans="3:6" ht="12.75">
      <c r="C49" s="160"/>
      <c r="D49" s="160"/>
      <c r="E49" s="160"/>
      <c r="F49" s="160"/>
    </row>
  </sheetData>
  <printOptions/>
  <pageMargins left="0.75" right="0.75" top="0.71" bottom="0.54" header="0.42" footer="0.34"/>
  <pageSetup horizontalDpi="300" verticalDpi="300" orientation="landscape" paperSize="9" r:id="rId2"/>
  <headerFooter alignWithMargins="0">
    <oddHeader>&amp;LDate : &amp;D&amp;RFilename : g:\rivops\state\allocatn\&amp;F</oddHeader>
    <oddFooter>&amp;CPage &amp;P</oddFooter>
  </headerFooter>
  <drawing r:id="rId1"/>
</worksheet>
</file>

<file path=xl/worksheets/sheet14.xml><?xml version="1.0" encoding="utf-8"?>
<worksheet xmlns="http://schemas.openxmlformats.org/spreadsheetml/2006/main" xmlns:r="http://schemas.openxmlformats.org/officeDocument/2006/relationships">
  <dimension ref="A1:H72"/>
  <sheetViews>
    <sheetView showGridLines="0" workbookViewId="0" topLeftCell="A4">
      <pane xSplit="1" ySplit="3" topLeftCell="B7" activePane="bottomRight" state="frozen"/>
      <selection pane="topLeft" activeCell="A4" sqref="A4"/>
      <selection pane="topRight" activeCell="B4" sqref="B4"/>
      <selection pane="bottomLeft" activeCell="A7" sqref="A7"/>
      <selection pane="bottomRight" activeCell="I7" sqref="I7"/>
    </sheetView>
  </sheetViews>
  <sheetFormatPr defaultColWidth="9.140625" defaultRowHeight="12.75"/>
  <cols>
    <col min="1" max="1" width="10.57421875" style="14" customWidth="1"/>
    <col min="2" max="2" width="10.140625" style="17" customWidth="1"/>
    <col min="3" max="3" width="10.00390625" style="24" customWidth="1"/>
    <col min="4" max="4" width="11.00390625" style="24" customWidth="1"/>
    <col min="5" max="5" width="11.421875" style="24" customWidth="1"/>
    <col min="6" max="6" width="11.8515625" style="17" customWidth="1"/>
    <col min="7" max="7" width="15.140625" style="17" bestFit="1" customWidth="1"/>
    <col min="8" max="8" width="54.140625" style="0" customWidth="1"/>
  </cols>
  <sheetData>
    <row r="1" spans="1:8" ht="24" customHeight="1" thickBot="1">
      <c r="A1" s="36" t="s">
        <v>164</v>
      </c>
      <c r="B1" s="2"/>
      <c r="C1" s="22"/>
      <c r="D1" s="22"/>
      <c r="E1" s="22"/>
      <c r="F1" s="2"/>
      <c r="G1" s="2"/>
      <c r="H1" s="3"/>
    </row>
    <row r="2" spans="1:8" ht="15.75" customHeight="1" thickBot="1">
      <c r="A2" s="29" t="s">
        <v>80</v>
      </c>
      <c r="B2" s="33"/>
      <c r="C2" s="34"/>
      <c r="D2" s="34"/>
      <c r="E2" s="34"/>
      <c r="F2" s="33"/>
      <c r="G2" s="33"/>
      <c r="H2" s="38" t="s">
        <v>81</v>
      </c>
    </row>
    <row r="3" spans="1:8" ht="45" customHeight="1" thickBot="1">
      <c r="A3" s="6"/>
      <c r="B3" s="2"/>
      <c r="C3" s="22"/>
      <c r="D3" s="22"/>
      <c r="E3" s="22"/>
      <c r="F3" s="2"/>
      <c r="G3" s="2"/>
      <c r="H3" s="3"/>
    </row>
    <row r="4" spans="1:8" ht="15.75" customHeight="1" thickBot="1">
      <c r="A4" s="29" t="s">
        <v>165</v>
      </c>
      <c r="B4" s="33"/>
      <c r="C4" s="34"/>
      <c r="D4" s="34"/>
      <c r="E4" s="34"/>
      <c r="F4" s="33"/>
      <c r="G4" s="33"/>
      <c r="H4" s="38"/>
    </row>
    <row r="5" spans="1:8" s="5" customFormat="1" ht="24">
      <c r="A5" s="39"/>
      <c r="B5" s="40" t="s">
        <v>83</v>
      </c>
      <c r="C5" s="41" t="s">
        <v>84</v>
      </c>
      <c r="D5" s="41" t="s">
        <v>85</v>
      </c>
      <c r="E5" s="51" t="s">
        <v>213</v>
      </c>
      <c r="F5" s="52"/>
      <c r="G5" s="42" t="s">
        <v>86</v>
      </c>
      <c r="H5" s="43"/>
    </row>
    <row r="6" spans="1:8" s="5" customFormat="1" ht="23.25" customHeight="1" thickBot="1">
      <c r="A6" s="44" t="s">
        <v>87</v>
      </c>
      <c r="B6" s="45" t="s">
        <v>86</v>
      </c>
      <c r="C6" s="46" t="s">
        <v>86</v>
      </c>
      <c r="D6" s="46" t="s">
        <v>88</v>
      </c>
      <c r="E6" s="49" t="s">
        <v>214</v>
      </c>
      <c r="F6" s="50" t="s">
        <v>215</v>
      </c>
      <c r="G6" s="47" t="s">
        <v>89</v>
      </c>
      <c r="H6" s="48" t="s">
        <v>90</v>
      </c>
    </row>
    <row r="7" spans="1:8" ht="15.75" customHeight="1">
      <c r="A7" s="56" t="s">
        <v>141</v>
      </c>
      <c r="B7" s="57">
        <v>29406</v>
      </c>
      <c r="C7" s="58">
        <v>40</v>
      </c>
      <c r="D7" s="58">
        <v>0</v>
      </c>
      <c r="E7" s="58"/>
      <c r="F7" s="59"/>
      <c r="G7" s="60" t="s">
        <v>92</v>
      </c>
      <c r="H7" s="61" t="s">
        <v>166</v>
      </c>
    </row>
    <row r="8" spans="1:8" ht="15.75" customHeight="1">
      <c r="A8" s="62"/>
      <c r="B8" s="63">
        <v>29503</v>
      </c>
      <c r="C8" s="64">
        <v>50</v>
      </c>
      <c r="D8" s="64">
        <v>0</v>
      </c>
      <c r="E8" s="64"/>
      <c r="F8" s="65"/>
      <c r="G8" s="66" t="s">
        <v>92</v>
      </c>
      <c r="H8" s="67"/>
    </row>
    <row r="9" spans="1:8" ht="15.75" customHeight="1" thickBot="1">
      <c r="A9" s="62"/>
      <c r="B9" s="63">
        <v>29615</v>
      </c>
      <c r="C9" s="64">
        <v>60</v>
      </c>
      <c r="D9" s="64">
        <v>0</v>
      </c>
      <c r="E9" s="64"/>
      <c r="F9" s="65"/>
      <c r="G9" s="66" t="s">
        <v>92</v>
      </c>
      <c r="H9" s="67"/>
    </row>
    <row r="10" spans="1:8" ht="15.75" customHeight="1">
      <c r="A10" s="56" t="s">
        <v>91</v>
      </c>
      <c r="B10" s="57">
        <v>29735</v>
      </c>
      <c r="C10" s="58">
        <v>10</v>
      </c>
      <c r="D10" s="58">
        <v>0</v>
      </c>
      <c r="E10" s="58"/>
      <c r="F10" s="59"/>
      <c r="G10" s="60" t="s">
        <v>92</v>
      </c>
      <c r="H10" s="61"/>
    </row>
    <row r="11" spans="1:8" ht="15.75" customHeight="1">
      <c r="A11" s="62"/>
      <c r="B11" s="63">
        <v>29809</v>
      </c>
      <c r="C11" s="64">
        <v>85</v>
      </c>
      <c r="D11" s="64">
        <v>0</v>
      </c>
      <c r="E11" s="64"/>
      <c r="F11" s="65"/>
      <c r="G11" s="66" t="s">
        <v>92</v>
      </c>
      <c r="H11" s="67"/>
    </row>
    <row r="12" spans="1:8" ht="15.75" customHeight="1" thickBot="1">
      <c r="A12" s="62"/>
      <c r="B12" s="63">
        <v>29936</v>
      </c>
      <c r="C12" s="64">
        <v>100</v>
      </c>
      <c r="D12" s="64">
        <v>0</v>
      </c>
      <c r="E12" s="64"/>
      <c r="F12" s="65"/>
      <c r="G12" s="66" t="s">
        <v>92</v>
      </c>
      <c r="H12" s="67"/>
    </row>
    <row r="13" spans="1:8" ht="15.75" customHeight="1" thickBot="1">
      <c r="A13" s="56" t="s">
        <v>93</v>
      </c>
      <c r="B13" s="57">
        <v>30137</v>
      </c>
      <c r="C13" s="58">
        <v>60</v>
      </c>
      <c r="D13" s="58">
        <v>0</v>
      </c>
      <c r="E13" s="58"/>
      <c r="F13" s="59"/>
      <c r="G13" s="60" t="s">
        <v>92</v>
      </c>
      <c r="H13" s="61"/>
    </row>
    <row r="14" spans="1:8" ht="15.75" customHeight="1">
      <c r="A14" s="56" t="s">
        <v>95</v>
      </c>
      <c r="B14" s="57">
        <v>30519</v>
      </c>
      <c r="C14" s="58">
        <v>20</v>
      </c>
      <c r="D14" s="58">
        <v>0</v>
      </c>
      <c r="E14" s="58"/>
      <c r="F14" s="59"/>
      <c r="G14" s="60" t="s">
        <v>92</v>
      </c>
      <c r="H14" s="61"/>
    </row>
    <row r="15" spans="1:8" ht="15.75" customHeight="1">
      <c r="A15" s="62"/>
      <c r="B15" s="63">
        <v>30532</v>
      </c>
      <c r="C15" s="64">
        <v>25</v>
      </c>
      <c r="D15" s="64">
        <v>0</v>
      </c>
      <c r="E15" s="64"/>
      <c r="F15" s="65"/>
      <c r="G15" s="66" t="s">
        <v>92</v>
      </c>
      <c r="H15" s="67"/>
    </row>
    <row r="16" spans="1:8" ht="15.75" customHeight="1">
      <c r="A16" s="62"/>
      <c r="B16" s="63">
        <v>30558</v>
      </c>
      <c r="C16" s="64">
        <v>40</v>
      </c>
      <c r="D16" s="64">
        <v>0</v>
      </c>
      <c r="E16" s="64"/>
      <c r="F16" s="65"/>
      <c r="G16" s="66" t="s">
        <v>92</v>
      </c>
      <c r="H16" s="67"/>
    </row>
    <row r="17" spans="1:8" ht="15.75" customHeight="1">
      <c r="A17" s="62"/>
      <c r="B17" s="63">
        <v>30568</v>
      </c>
      <c r="C17" s="64">
        <v>55</v>
      </c>
      <c r="D17" s="64">
        <v>0</v>
      </c>
      <c r="E17" s="64"/>
      <c r="F17" s="65"/>
      <c r="G17" s="66" t="s">
        <v>92</v>
      </c>
      <c r="H17" s="67"/>
    </row>
    <row r="18" spans="1:8" ht="15.75" customHeight="1">
      <c r="A18" s="62"/>
      <c r="B18" s="63">
        <v>30580</v>
      </c>
      <c r="C18" s="64">
        <v>60</v>
      </c>
      <c r="D18" s="64">
        <v>0</v>
      </c>
      <c r="E18" s="64"/>
      <c r="F18" s="65"/>
      <c r="G18" s="66" t="s">
        <v>92</v>
      </c>
      <c r="H18" s="67"/>
    </row>
    <row r="19" spans="1:8" ht="15.75" customHeight="1">
      <c r="A19" s="62"/>
      <c r="B19" s="63">
        <v>30613</v>
      </c>
      <c r="C19" s="64">
        <v>75</v>
      </c>
      <c r="D19" s="64">
        <v>0</v>
      </c>
      <c r="E19" s="64"/>
      <c r="F19" s="65"/>
      <c r="G19" s="66" t="s">
        <v>92</v>
      </c>
      <c r="H19" s="67"/>
    </row>
    <row r="20" spans="1:8" ht="15.75" customHeight="1">
      <c r="A20" s="62"/>
      <c r="B20" s="63">
        <v>30651</v>
      </c>
      <c r="C20" s="64">
        <v>90</v>
      </c>
      <c r="D20" s="64">
        <v>0</v>
      </c>
      <c r="E20" s="64"/>
      <c r="F20" s="65"/>
      <c r="G20" s="66" t="s">
        <v>92</v>
      </c>
      <c r="H20" s="67"/>
    </row>
    <row r="21" spans="1:8" ht="15.75" customHeight="1" thickBot="1">
      <c r="A21" s="68"/>
      <c r="B21" s="69">
        <v>30720</v>
      </c>
      <c r="C21" s="70">
        <v>100</v>
      </c>
      <c r="D21" s="70">
        <v>0</v>
      </c>
      <c r="E21" s="70"/>
      <c r="F21" s="71"/>
      <c r="G21" s="72" t="s">
        <v>92</v>
      </c>
      <c r="H21" s="73"/>
    </row>
    <row r="22" spans="1:8" ht="15.75" customHeight="1" thickBot="1">
      <c r="A22" s="56" t="s">
        <v>96</v>
      </c>
      <c r="B22" s="57">
        <v>30869</v>
      </c>
      <c r="C22" s="58">
        <v>100</v>
      </c>
      <c r="D22" s="58">
        <v>0</v>
      </c>
      <c r="E22" s="58"/>
      <c r="F22" s="59"/>
      <c r="G22" s="60" t="s">
        <v>92</v>
      </c>
      <c r="H22" s="61"/>
    </row>
    <row r="23" spans="1:8" ht="15.75" customHeight="1">
      <c r="A23" s="56" t="s">
        <v>97</v>
      </c>
      <c r="B23" s="57">
        <v>31247</v>
      </c>
      <c r="C23" s="58">
        <v>85</v>
      </c>
      <c r="D23" s="58">
        <v>0</v>
      </c>
      <c r="E23" s="58"/>
      <c r="F23" s="59"/>
      <c r="G23" s="60" t="s">
        <v>92</v>
      </c>
      <c r="H23" s="61"/>
    </row>
    <row r="24" spans="1:8" ht="15.75" customHeight="1">
      <c r="A24" s="62"/>
      <c r="B24" s="63">
        <v>31279</v>
      </c>
      <c r="C24" s="64">
        <v>95</v>
      </c>
      <c r="D24" s="64">
        <v>0</v>
      </c>
      <c r="E24" s="64"/>
      <c r="F24" s="65"/>
      <c r="G24" s="66" t="s">
        <v>92</v>
      </c>
      <c r="H24" s="67"/>
    </row>
    <row r="25" spans="1:8" ht="15.75" customHeight="1" thickBot="1">
      <c r="A25" s="68"/>
      <c r="B25" s="69">
        <v>31282</v>
      </c>
      <c r="C25" s="70">
        <v>100</v>
      </c>
      <c r="D25" s="70">
        <v>0</v>
      </c>
      <c r="E25" s="70"/>
      <c r="F25" s="71"/>
      <c r="G25" s="72" t="s">
        <v>92</v>
      </c>
      <c r="H25" s="73"/>
    </row>
    <row r="26" spans="1:8" ht="15.75" customHeight="1">
      <c r="A26" s="56" t="s">
        <v>98</v>
      </c>
      <c r="B26" s="57">
        <v>31603</v>
      </c>
      <c r="C26" s="58">
        <v>60</v>
      </c>
      <c r="D26" s="58">
        <v>0</v>
      </c>
      <c r="E26" s="58"/>
      <c r="F26" s="59"/>
      <c r="G26" s="60" t="s">
        <v>92</v>
      </c>
      <c r="H26" s="61"/>
    </row>
    <row r="27" spans="1:8" ht="15.75" customHeight="1" thickBot="1">
      <c r="A27" s="68"/>
      <c r="B27" s="69">
        <v>31638</v>
      </c>
      <c r="C27" s="70">
        <v>100</v>
      </c>
      <c r="D27" s="70">
        <v>0</v>
      </c>
      <c r="E27" s="70"/>
      <c r="F27" s="71"/>
      <c r="G27" s="72" t="s">
        <v>92</v>
      </c>
      <c r="H27" s="73"/>
    </row>
    <row r="28" spans="1:8" ht="15.75" customHeight="1">
      <c r="A28" s="56" t="s">
        <v>99</v>
      </c>
      <c r="B28" s="57">
        <v>31971</v>
      </c>
      <c r="C28" s="58">
        <v>100</v>
      </c>
      <c r="D28" s="58">
        <v>0</v>
      </c>
      <c r="E28" s="58"/>
      <c r="F28" s="59"/>
      <c r="G28" s="60" t="s">
        <v>92</v>
      </c>
      <c r="H28" s="61"/>
    </row>
    <row r="29" spans="1:8" ht="15.75" customHeight="1" thickBot="1">
      <c r="A29" s="68"/>
      <c r="B29" s="69">
        <v>32155</v>
      </c>
      <c r="C29" s="70">
        <v>100</v>
      </c>
      <c r="D29" s="70">
        <v>20</v>
      </c>
      <c r="E29" s="70"/>
      <c r="F29" s="71"/>
      <c r="G29" s="72" t="s">
        <v>92</v>
      </c>
      <c r="H29" s="73"/>
    </row>
    <row r="30" spans="1:8" ht="15.75" customHeight="1" thickBot="1">
      <c r="A30" s="56" t="s">
        <v>100</v>
      </c>
      <c r="B30" s="57">
        <v>32342</v>
      </c>
      <c r="C30" s="58">
        <v>100</v>
      </c>
      <c r="D30" s="58">
        <v>0</v>
      </c>
      <c r="E30" s="58"/>
      <c r="F30" s="59"/>
      <c r="G30" s="60" t="s">
        <v>92</v>
      </c>
      <c r="H30" s="61"/>
    </row>
    <row r="31" spans="1:8" ht="15.75" customHeight="1" thickBot="1">
      <c r="A31" s="74" t="s">
        <v>101</v>
      </c>
      <c r="B31" s="75">
        <v>32720</v>
      </c>
      <c r="C31" s="76">
        <v>100</v>
      </c>
      <c r="D31" s="76">
        <v>0</v>
      </c>
      <c r="E31" s="76"/>
      <c r="F31" s="77"/>
      <c r="G31" s="78" t="s">
        <v>92</v>
      </c>
      <c r="H31" s="79"/>
    </row>
    <row r="32" spans="1:8" ht="15.75" customHeight="1" thickBot="1">
      <c r="A32" s="74" t="s">
        <v>102</v>
      </c>
      <c r="B32" s="75">
        <v>33073</v>
      </c>
      <c r="C32" s="76">
        <v>100</v>
      </c>
      <c r="D32" s="76">
        <v>0</v>
      </c>
      <c r="E32" s="76"/>
      <c r="F32" s="77"/>
      <c r="G32" s="78" t="s">
        <v>92</v>
      </c>
      <c r="H32" s="79"/>
    </row>
    <row r="33" spans="1:8" ht="15.75" customHeight="1">
      <c r="A33" s="56" t="s">
        <v>103</v>
      </c>
      <c r="B33" s="57">
        <v>33442</v>
      </c>
      <c r="C33" s="58">
        <v>90</v>
      </c>
      <c r="D33" s="58">
        <v>0</v>
      </c>
      <c r="E33" s="58"/>
      <c r="F33" s="59"/>
      <c r="G33" s="60" t="s">
        <v>92</v>
      </c>
      <c r="H33" s="61"/>
    </row>
    <row r="34" spans="1:8" ht="15.75" customHeight="1" thickBot="1">
      <c r="A34" s="68"/>
      <c r="B34" s="69">
        <v>33458</v>
      </c>
      <c r="C34" s="70">
        <v>100</v>
      </c>
      <c r="D34" s="70">
        <v>0</v>
      </c>
      <c r="E34" s="70"/>
      <c r="F34" s="71"/>
      <c r="G34" s="72" t="s">
        <v>104</v>
      </c>
      <c r="H34" s="73"/>
    </row>
    <row r="35" spans="1:8" ht="15.75" customHeight="1" thickBot="1">
      <c r="A35" s="68" t="s">
        <v>105</v>
      </c>
      <c r="B35" s="69">
        <v>33828</v>
      </c>
      <c r="C35" s="70">
        <v>100</v>
      </c>
      <c r="D35" s="70">
        <v>0</v>
      </c>
      <c r="E35" s="70"/>
      <c r="F35" s="71"/>
      <c r="G35" s="72" t="s">
        <v>104</v>
      </c>
      <c r="H35" s="73"/>
    </row>
    <row r="36" spans="1:8" ht="15.75" customHeight="1" thickBot="1">
      <c r="A36" s="74" t="s">
        <v>106</v>
      </c>
      <c r="B36" s="75">
        <v>34183</v>
      </c>
      <c r="C36" s="76">
        <v>100</v>
      </c>
      <c r="D36" s="76">
        <v>0</v>
      </c>
      <c r="E36" s="76"/>
      <c r="F36" s="77"/>
      <c r="G36" s="78" t="s">
        <v>104</v>
      </c>
      <c r="H36" s="79" t="s">
        <v>167</v>
      </c>
    </row>
    <row r="37" spans="1:8" ht="15.75" customHeight="1" thickBot="1">
      <c r="A37" s="74" t="s">
        <v>108</v>
      </c>
      <c r="B37" s="75">
        <v>34569</v>
      </c>
      <c r="C37" s="76">
        <v>80</v>
      </c>
      <c r="D37" s="76">
        <v>0</v>
      </c>
      <c r="E37" s="76"/>
      <c r="F37" s="77"/>
      <c r="G37" s="78" t="s">
        <v>104</v>
      </c>
      <c r="H37" s="79" t="s">
        <v>168</v>
      </c>
    </row>
    <row r="38" spans="1:8" ht="15.75" customHeight="1">
      <c r="A38" s="56" t="s">
        <v>109</v>
      </c>
      <c r="B38" s="57">
        <v>34913</v>
      </c>
      <c r="C38" s="58">
        <v>10</v>
      </c>
      <c r="D38" s="58">
        <v>0</v>
      </c>
      <c r="E38" s="58"/>
      <c r="F38" s="59"/>
      <c r="G38" s="60" t="s">
        <v>104</v>
      </c>
      <c r="H38" s="61"/>
    </row>
    <row r="39" spans="1:8" ht="15.75" customHeight="1">
      <c r="A39" s="62"/>
      <c r="B39" s="63">
        <v>34983</v>
      </c>
      <c r="C39" s="64">
        <v>15</v>
      </c>
      <c r="D39" s="64">
        <v>0</v>
      </c>
      <c r="E39" s="64"/>
      <c r="F39" s="65"/>
      <c r="G39" s="66" t="s">
        <v>104</v>
      </c>
      <c r="H39" s="67"/>
    </row>
    <row r="40" spans="1:8" ht="15.75" customHeight="1">
      <c r="A40" s="62"/>
      <c r="B40" s="63">
        <v>35042</v>
      </c>
      <c r="C40" s="64">
        <v>20</v>
      </c>
      <c r="D40" s="64">
        <v>0</v>
      </c>
      <c r="E40" s="64"/>
      <c r="F40" s="65"/>
      <c r="G40" s="66" t="s">
        <v>104</v>
      </c>
      <c r="H40" s="67" t="s">
        <v>169</v>
      </c>
    </row>
    <row r="41" spans="1:8" ht="15.75" customHeight="1">
      <c r="A41" s="62"/>
      <c r="B41" s="63">
        <v>35048</v>
      </c>
      <c r="C41" s="64">
        <v>24</v>
      </c>
      <c r="D41" s="64">
        <v>0</v>
      </c>
      <c r="E41" s="64"/>
      <c r="F41" s="65"/>
      <c r="G41" s="66" t="s">
        <v>104</v>
      </c>
      <c r="H41" s="67"/>
    </row>
    <row r="42" spans="1:8" ht="15.75" customHeight="1">
      <c r="A42" s="62"/>
      <c r="B42" s="63">
        <v>35069</v>
      </c>
      <c r="C42" s="64">
        <v>40</v>
      </c>
      <c r="D42" s="64">
        <v>0</v>
      </c>
      <c r="E42" s="64"/>
      <c r="F42" s="65"/>
      <c r="G42" s="66" t="s">
        <v>104</v>
      </c>
      <c r="H42" s="67"/>
    </row>
    <row r="43" spans="1:8" ht="15.75" customHeight="1">
      <c r="A43" s="62"/>
      <c r="B43" s="63">
        <v>35124</v>
      </c>
      <c r="C43" s="64">
        <v>50</v>
      </c>
      <c r="D43" s="64">
        <v>0</v>
      </c>
      <c r="E43" s="64"/>
      <c r="F43" s="65"/>
      <c r="G43" s="66" t="s">
        <v>104</v>
      </c>
      <c r="H43" s="67"/>
    </row>
    <row r="44" spans="1:8" ht="15.75" customHeight="1" thickBot="1">
      <c r="A44" s="68"/>
      <c r="B44" s="69">
        <v>35185</v>
      </c>
      <c r="C44" s="70">
        <v>55</v>
      </c>
      <c r="D44" s="70">
        <v>0</v>
      </c>
      <c r="E44" s="70"/>
      <c r="F44" s="71"/>
      <c r="G44" s="72" t="s">
        <v>104</v>
      </c>
      <c r="H44" s="73"/>
    </row>
    <row r="45" spans="1:8" ht="15.75" customHeight="1">
      <c r="A45" s="56" t="s">
        <v>110</v>
      </c>
      <c r="B45" s="57">
        <v>35247</v>
      </c>
      <c r="C45" s="58">
        <v>0</v>
      </c>
      <c r="D45" s="58">
        <v>0</v>
      </c>
      <c r="E45" s="58">
        <v>50</v>
      </c>
      <c r="F45" s="58">
        <v>25</v>
      </c>
      <c r="G45" s="60" t="s">
        <v>104</v>
      </c>
      <c r="H45" s="61"/>
    </row>
    <row r="46" spans="1:8" ht="15.75" customHeight="1">
      <c r="A46" s="62"/>
      <c r="B46" s="63">
        <v>35283</v>
      </c>
      <c r="C46" s="64">
        <v>10</v>
      </c>
      <c r="D46" s="64">
        <v>0</v>
      </c>
      <c r="E46" s="64">
        <v>50</v>
      </c>
      <c r="F46" s="64">
        <v>25</v>
      </c>
      <c r="G46" s="66" t="s">
        <v>104</v>
      </c>
      <c r="H46" s="67"/>
    </row>
    <row r="47" spans="1:8" ht="15.75" customHeight="1">
      <c r="A47" s="62"/>
      <c r="B47" s="63">
        <v>35289</v>
      </c>
      <c r="C47" s="64">
        <v>20</v>
      </c>
      <c r="D47" s="64">
        <v>0</v>
      </c>
      <c r="E47" s="64">
        <v>50</v>
      </c>
      <c r="F47" s="64">
        <v>25</v>
      </c>
      <c r="G47" s="66" t="s">
        <v>104</v>
      </c>
      <c r="H47" s="67"/>
    </row>
    <row r="48" spans="1:8" ht="15.75" customHeight="1">
      <c r="A48" s="62"/>
      <c r="B48" s="63">
        <v>35318</v>
      </c>
      <c r="C48" s="64">
        <v>50</v>
      </c>
      <c r="D48" s="64">
        <v>0</v>
      </c>
      <c r="E48" s="64">
        <v>50</v>
      </c>
      <c r="F48" s="64">
        <v>25</v>
      </c>
      <c r="G48" s="66" t="s">
        <v>104</v>
      </c>
      <c r="H48" s="67" t="s">
        <v>170</v>
      </c>
    </row>
    <row r="49" spans="1:8" ht="15.75" customHeight="1">
      <c r="A49" s="62"/>
      <c r="B49" s="63">
        <v>35342</v>
      </c>
      <c r="C49" s="64">
        <v>70</v>
      </c>
      <c r="D49" s="64">
        <v>0</v>
      </c>
      <c r="E49" s="64">
        <v>50</v>
      </c>
      <c r="F49" s="64">
        <v>25</v>
      </c>
      <c r="G49" s="66" t="s">
        <v>104</v>
      </c>
      <c r="H49" s="67" t="s">
        <v>171</v>
      </c>
    </row>
    <row r="50" spans="1:8" ht="15.75" customHeight="1" thickBot="1">
      <c r="A50" s="68"/>
      <c r="B50" s="69">
        <v>35478</v>
      </c>
      <c r="C50" s="70">
        <v>85</v>
      </c>
      <c r="D50" s="70">
        <v>0</v>
      </c>
      <c r="E50" s="70">
        <v>50</v>
      </c>
      <c r="F50" s="70">
        <v>25</v>
      </c>
      <c r="G50" s="72" t="s">
        <v>104</v>
      </c>
      <c r="H50" s="73" t="s">
        <v>172</v>
      </c>
    </row>
    <row r="51" spans="1:8" ht="12.75">
      <c r="A51" s="56" t="s">
        <v>112</v>
      </c>
      <c r="B51" s="57">
        <v>35612</v>
      </c>
      <c r="C51" s="58">
        <v>10</v>
      </c>
      <c r="D51" s="58">
        <v>0</v>
      </c>
      <c r="E51" s="58"/>
      <c r="F51" s="58">
        <v>60</v>
      </c>
      <c r="G51" s="60" t="s">
        <v>104</v>
      </c>
      <c r="H51" s="61" t="s">
        <v>173</v>
      </c>
    </row>
    <row r="52" spans="1:8" ht="15.75" customHeight="1">
      <c r="A52" s="62"/>
      <c r="B52" s="63"/>
      <c r="C52" s="64"/>
      <c r="D52" s="64"/>
      <c r="E52" s="64"/>
      <c r="F52" s="65"/>
      <c r="G52" s="66"/>
      <c r="H52" s="67"/>
    </row>
    <row r="53" spans="1:8" ht="15.75" customHeight="1" thickBot="1">
      <c r="A53" s="68"/>
      <c r="B53" s="69"/>
      <c r="C53" s="70"/>
      <c r="D53" s="70"/>
      <c r="E53" s="70"/>
      <c r="F53" s="71"/>
      <c r="G53" s="72"/>
      <c r="H53" s="73"/>
    </row>
    <row r="54" spans="1:8" ht="12.75">
      <c r="A54" s="56" t="s">
        <v>113</v>
      </c>
      <c r="B54" s="57">
        <v>36014</v>
      </c>
      <c r="C54" s="58">
        <v>100</v>
      </c>
      <c r="D54" s="58">
        <v>0</v>
      </c>
      <c r="E54" s="58">
        <v>100</v>
      </c>
      <c r="F54" s="58" t="s">
        <v>220</v>
      </c>
      <c r="G54" s="60" t="s">
        <v>216</v>
      </c>
      <c r="H54" s="61" t="s">
        <v>174</v>
      </c>
    </row>
    <row r="55" spans="1:8" ht="12.75">
      <c r="A55" s="62"/>
      <c r="B55" s="63"/>
      <c r="C55" s="64"/>
      <c r="D55" s="64"/>
      <c r="E55" s="64"/>
      <c r="F55" s="65"/>
      <c r="G55" s="66"/>
      <c r="H55" s="67"/>
    </row>
    <row r="56" spans="1:8" ht="13.5" thickBot="1">
      <c r="A56" s="68"/>
      <c r="B56" s="69"/>
      <c r="C56" s="70"/>
      <c r="D56" s="70"/>
      <c r="E56" s="70"/>
      <c r="F56" s="71"/>
      <c r="G56" s="72"/>
      <c r="H56" s="73"/>
    </row>
    <row r="57" spans="1:8" ht="12.75">
      <c r="A57" s="56" t="s">
        <v>183</v>
      </c>
      <c r="B57" s="57">
        <v>36385</v>
      </c>
      <c r="C57" s="58">
        <v>45</v>
      </c>
      <c r="D57" s="58">
        <v>0</v>
      </c>
      <c r="E57" s="58">
        <v>100</v>
      </c>
      <c r="F57" s="58">
        <v>60</v>
      </c>
      <c r="G57" s="60" t="s">
        <v>216</v>
      </c>
      <c r="H57" s="61"/>
    </row>
    <row r="58" spans="1:8" ht="12.75">
      <c r="A58" s="62"/>
      <c r="B58" s="63">
        <v>36508</v>
      </c>
      <c r="C58" s="64">
        <v>100</v>
      </c>
      <c r="D58" s="64">
        <v>0</v>
      </c>
      <c r="E58" s="64">
        <v>100</v>
      </c>
      <c r="F58" s="130">
        <v>0</v>
      </c>
      <c r="G58" s="66" t="s">
        <v>216</v>
      </c>
      <c r="H58" s="67" t="s">
        <v>223</v>
      </c>
    </row>
    <row r="59" spans="1:8" ht="12.75">
      <c r="A59" s="62"/>
      <c r="B59" s="63"/>
      <c r="C59" s="64"/>
      <c r="D59" s="64"/>
      <c r="E59" s="64"/>
      <c r="F59" s="130"/>
      <c r="G59" s="66"/>
      <c r="H59" s="151" t="s">
        <v>222</v>
      </c>
    </row>
    <row r="60" spans="1:8" ht="13.5" thickBot="1">
      <c r="A60" s="68"/>
      <c r="B60" s="69"/>
      <c r="C60" s="70"/>
      <c r="D60" s="70"/>
      <c r="E60" s="70"/>
      <c r="F60" s="71"/>
      <c r="G60" s="72"/>
      <c r="H60" s="73" t="s">
        <v>235</v>
      </c>
    </row>
    <row r="61" spans="1:8" ht="12.75">
      <c r="A61" s="147" t="s">
        <v>234</v>
      </c>
      <c r="B61" s="7">
        <v>36749</v>
      </c>
      <c r="C61" s="159">
        <v>0.45</v>
      </c>
      <c r="D61" s="159"/>
      <c r="E61" s="159">
        <v>1</v>
      </c>
      <c r="F61" s="159">
        <v>0.79</v>
      </c>
      <c r="G61" s="9" t="s">
        <v>216</v>
      </c>
      <c r="H61" s="120"/>
    </row>
    <row r="62" spans="1:8" ht="12.75">
      <c r="A62" s="158"/>
      <c r="B62" s="15">
        <v>36788</v>
      </c>
      <c r="C62" s="157">
        <v>0.76</v>
      </c>
      <c r="D62" s="157"/>
      <c r="E62" s="157">
        <v>1</v>
      </c>
      <c r="F62" s="157"/>
      <c r="G62" s="17" t="s">
        <v>216</v>
      </c>
      <c r="H62" s="151"/>
    </row>
    <row r="63" spans="1:8" ht="13.5" thickBot="1">
      <c r="A63" s="148"/>
      <c r="B63" s="11">
        <v>36808</v>
      </c>
      <c r="C63" s="146">
        <v>1</v>
      </c>
      <c r="D63" s="146"/>
      <c r="E63" s="146">
        <v>1</v>
      </c>
      <c r="F63" s="146"/>
      <c r="G63" s="13" t="s">
        <v>216</v>
      </c>
      <c r="H63" s="121"/>
    </row>
    <row r="64" spans="1:8" ht="12.75">
      <c r="A64" s="14" t="s">
        <v>3</v>
      </c>
      <c r="B64" s="15">
        <v>37092</v>
      </c>
      <c r="C64" s="157">
        <v>0.68</v>
      </c>
      <c r="D64" s="157"/>
      <c r="E64" s="157">
        <v>1</v>
      </c>
      <c r="F64" s="157">
        <v>0.51</v>
      </c>
      <c r="G64" s="17" t="s">
        <v>216</v>
      </c>
      <c r="H64" s="120"/>
    </row>
    <row r="65" spans="1:8" ht="12.75">
      <c r="A65" s="193"/>
      <c r="B65" s="15">
        <v>37264</v>
      </c>
      <c r="C65" s="157">
        <v>0.8</v>
      </c>
      <c r="D65" s="157"/>
      <c r="E65" s="157">
        <v>1</v>
      </c>
      <c r="F65" s="157">
        <v>0.51</v>
      </c>
      <c r="G65" s="17" t="s">
        <v>216</v>
      </c>
      <c r="H65" s="151"/>
    </row>
    <row r="66" spans="1:8" ht="13.5" thickBot="1">
      <c r="A66" s="158"/>
      <c r="B66" s="15">
        <v>37348</v>
      </c>
      <c r="C66" s="157">
        <v>0.9</v>
      </c>
      <c r="D66" s="157"/>
      <c r="E66" s="157">
        <v>1</v>
      </c>
      <c r="F66" s="157">
        <v>0.51</v>
      </c>
      <c r="G66" s="17" t="s">
        <v>216</v>
      </c>
      <c r="H66" s="151"/>
    </row>
    <row r="67" spans="1:8" ht="12.75">
      <c r="A67" s="204" t="s">
        <v>10</v>
      </c>
      <c r="B67" s="205">
        <v>37467</v>
      </c>
      <c r="C67" s="206">
        <v>0</v>
      </c>
      <c r="D67" s="206"/>
      <c r="E67" s="206">
        <v>1</v>
      </c>
      <c r="F67" s="206">
        <v>0.59</v>
      </c>
      <c r="G67" s="207" t="s">
        <v>216</v>
      </c>
      <c r="H67" s="208"/>
    </row>
    <row r="68" spans="3:8" ht="13.5" thickBot="1">
      <c r="C68" s="157"/>
      <c r="D68" s="157"/>
      <c r="E68" s="157"/>
      <c r="F68" s="157"/>
      <c r="H68" s="209"/>
    </row>
    <row r="69" spans="1:8" ht="12.75">
      <c r="A69" s="147" t="s">
        <v>13</v>
      </c>
      <c r="B69" s="7">
        <v>37806</v>
      </c>
      <c r="C69" s="159">
        <v>0</v>
      </c>
      <c r="D69" s="159"/>
      <c r="E69" s="159">
        <v>1</v>
      </c>
      <c r="F69" s="159">
        <v>0.04</v>
      </c>
      <c r="G69" s="9" t="s">
        <v>216</v>
      </c>
      <c r="H69" s="120" t="s">
        <v>16</v>
      </c>
    </row>
    <row r="70" spans="1:8" ht="12.75">
      <c r="A70" s="158"/>
      <c r="B70" s="15">
        <v>37865</v>
      </c>
      <c r="C70" s="24">
        <v>9</v>
      </c>
      <c r="E70" s="24">
        <v>100</v>
      </c>
      <c r="F70" s="157">
        <v>0.04</v>
      </c>
      <c r="H70" s="151"/>
    </row>
    <row r="71" spans="1:8" ht="13.5" thickBot="1">
      <c r="A71" s="148"/>
      <c r="B71" s="11">
        <v>37904</v>
      </c>
      <c r="C71" s="25">
        <v>19</v>
      </c>
      <c r="D71" s="25"/>
      <c r="E71" s="25">
        <v>100</v>
      </c>
      <c r="F71" s="146">
        <v>0.04</v>
      </c>
      <c r="G71" s="13"/>
      <c r="H71" s="121"/>
    </row>
    <row r="72" spans="1:8" ht="18" customHeight="1" thickBot="1">
      <c r="A72" s="127" t="s">
        <v>42</v>
      </c>
      <c r="B72" s="345" t="s">
        <v>55</v>
      </c>
      <c r="C72" s="339"/>
      <c r="D72" s="339"/>
      <c r="E72" s="339"/>
      <c r="F72" s="339"/>
      <c r="G72" s="339"/>
      <c r="H72" s="337"/>
    </row>
  </sheetData>
  <mergeCells count="1">
    <mergeCell ref="B72:H72"/>
  </mergeCells>
  <printOptions/>
  <pageMargins left="1.15" right="0.75" top="0.78" bottom="0.73" header="0.5" footer="0.5"/>
  <pageSetup horizontalDpi="300" verticalDpi="300" orientation="landscape" paperSize="9" scale="90" r:id="rId2"/>
  <headerFooter alignWithMargins="0">
    <oddHeader>&amp;LDate : &amp;D&amp;RFilename : g:\rivops\state\allocatn\&amp;F</oddHeader>
    <oddFooter>&amp;CPage &amp;P</oddFooter>
  </headerFooter>
  <drawing r:id="rId1"/>
</worksheet>
</file>

<file path=xl/worksheets/sheet15.xml><?xml version="1.0" encoding="utf-8"?>
<worksheet xmlns="http://schemas.openxmlformats.org/spreadsheetml/2006/main" xmlns:r="http://schemas.openxmlformats.org/officeDocument/2006/relationships">
  <dimension ref="A1:H273"/>
  <sheetViews>
    <sheetView showGridLines="0" workbookViewId="0" topLeftCell="A1">
      <pane ySplit="6" topLeftCell="BM7" activePane="bottomLeft" state="frozen"/>
      <selection pane="topLeft" activeCell="A1" sqref="A1"/>
      <selection pane="bottomLeft" activeCell="I7" sqref="I7"/>
    </sheetView>
  </sheetViews>
  <sheetFormatPr defaultColWidth="9.140625" defaultRowHeight="12.75"/>
  <cols>
    <col min="1" max="1" width="9.140625" style="14" customWidth="1"/>
    <col min="2" max="2" width="10.140625" style="54" customWidth="1"/>
    <col min="3" max="3" width="10.00390625" style="53" customWidth="1"/>
    <col min="4" max="4" width="11.00390625" style="53" customWidth="1"/>
    <col min="5" max="5" width="11.421875" style="53" customWidth="1"/>
    <col min="6" max="6" width="11.28125" style="54" customWidth="1"/>
    <col min="7" max="7" width="12.8515625" style="54" customWidth="1"/>
    <col min="8" max="8" width="54.140625" style="55" customWidth="1"/>
  </cols>
  <sheetData>
    <row r="1" spans="1:8" ht="24" customHeight="1" thickBot="1">
      <c r="A1" s="36" t="s">
        <v>175</v>
      </c>
      <c r="B1" s="2"/>
      <c r="C1" s="22"/>
      <c r="D1" s="22"/>
      <c r="E1" s="22"/>
      <c r="F1" s="2"/>
      <c r="G1" s="2"/>
      <c r="H1" s="3"/>
    </row>
    <row r="2" spans="1:8" ht="15.75" customHeight="1" thickBot="1">
      <c r="A2" s="29" t="s">
        <v>80</v>
      </c>
      <c r="B2" s="33"/>
      <c r="C2" s="34"/>
      <c r="D2" s="34"/>
      <c r="E2" s="34"/>
      <c r="F2" s="33"/>
      <c r="G2" s="33"/>
      <c r="H2" s="38" t="s">
        <v>81</v>
      </c>
    </row>
    <row r="3" spans="1:8" ht="54" customHeight="1" thickBot="1">
      <c r="A3" s="6"/>
      <c r="B3" s="2"/>
      <c r="C3" s="22"/>
      <c r="D3" s="22"/>
      <c r="E3" s="22"/>
      <c r="F3" s="2"/>
      <c r="G3" s="2"/>
      <c r="H3" s="3"/>
    </row>
    <row r="4" spans="1:8" ht="15.75" customHeight="1" thickBot="1">
      <c r="A4" s="29" t="s">
        <v>176</v>
      </c>
      <c r="B4" s="33"/>
      <c r="C4" s="34"/>
      <c r="D4" s="34"/>
      <c r="E4" s="34"/>
      <c r="F4" s="33"/>
      <c r="G4" s="33"/>
      <c r="H4" s="38"/>
    </row>
    <row r="5" spans="1:8" s="5" customFormat="1" ht="24">
      <c r="A5" s="39"/>
      <c r="B5" s="40" t="s">
        <v>83</v>
      </c>
      <c r="C5" s="41" t="s">
        <v>84</v>
      </c>
      <c r="D5" s="41" t="s">
        <v>85</v>
      </c>
      <c r="E5" s="51" t="s">
        <v>213</v>
      </c>
      <c r="F5" s="52"/>
      <c r="G5" s="42" t="s">
        <v>86</v>
      </c>
      <c r="H5" s="43"/>
    </row>
    <row r="6" spans="1:8" s="5" customFormat="1" ht="23.25" customHeight="1" thickBot="1">
      <c r="A6" s="44" t="s">
        <v>87</v>
      </c>
      <c r="B6" s="45" t="s">
        <v>86</v>
      </c>
      <c r="C6" s="46" t="s">
        <v>86</v>
      </c>
      <c r="D6" s="46" t="s">
        <v>88</v>
      </c>
      <c r="E6" s="49" t="s">
        <v>214</v>
      </c>
      <c r="F6" s="50" t="s">
        <v>215</v>
      </c>
      <c r="G6" s="47" t="s">
        <v>89</v>
      </c>
      <c r="H6" s="48" t="s">
        <v>90</v>
      </c>
    </row>
    <row r="7" spans="1:8" ht="15.75" customHeight="1" thickBot="1">
      <c r="A7" s="56" t="s">
        <v>100</v>
      </c>
      <c r="B7" s="82">
        <v>32420</v>
      </c>
      <c r="C7" s="83">
        <v>100</v>
      </c>
      <c r="D7" s="83">
        <v>0</v>
      </c>
      <c r="E7" s="83"/>
      <c r="F7" s="84"/>
      <c r="G7" s="85"/>
      <c r="H7" s="86"/>
    </row>
    <row r="8" spans="1:8" ht="15.75" customHeight="1" thickBot="1">
      <c r="A8" s="74" t="s">
        <v>101</v>
      </c>
      <c r="B8" s="87">
        <v>32727</v>
      </c>
      <c r="C8" s="88">
        <v>100</v>
      </c>
      <c r="D8" s="88">
        <v>0</v>
      </c>
      <c r="E8" s="88"/>
      <c r="F8" s="89"/>
      <c r="G8" s="90"/>
      <c r="H8" s="91"/>
    </row>
    <row r="9" spans="1:8" ht="15.75" customHeight="1" thickBot="1">
      <c r="A9" s="74" t="s">
        <v>102</v>
      </c>
      <c r="B9" s="87">
        <v>33098</v>
      </c>
      <c r="C9" s="88">
        <v>100</v>
      </c>
      <c r="D9" s="88">
        <v>0</v>
      </c>
      <c r="E9" s="88"/>
      <c r="F9" s="89"/>
      <c r="G9" s="90"/>
      <c r="H9" s="91"/>
    </row>
    <row r="10" spans="1:8" ht="15.75" customHeight="1" thickBot="1">
      <c r="A10" s="74" t="s">
        <v>103</v>
      </c>
      <c r="B10" s="87">
        <v>33491</v>
      </c>
      <c r="C10" s="88">
        <v>100</v>
      </c>
      <c r="D10" s="88">
        <v>0</v>
      </c>
      <c r="E10" s="88"/>
      <c r="F10" s="89"/>
      <c r="G10" s="90"/>
      <c r="H10" s="91"/>
    </row>
    <row r="11" spans="1:8" ht="15.75" customHeight="1">
      <c r="A11" s="56" t="s">
        <v>105</v>
      </c>
      <c r="B11" s="82">
        <v>33875</v>
      </c>
      <c r="C11" s="83">
        <v>15</v>
      </c>
      <c r="D11" s="83">
        <v>0</v>
      </c>
      <c r="E11" s="83"/>
      <c r="F11" s="84"/>
      <c r="G11" s="85"/>
      <c r="H11" s="86" t="s">
        <v>177</v>
      </c>
    </row>
    <row r="12" spans="1:8" ht="15.75" customHeight="1">
      <c r="A12" s="62"/>
      <c r="B12" s="92">
        <v>33952</v>
      </c>
      <c r="C12" s="93">
        <v>20</v>
      </c>
      <c r="D12" s="93">
        <v>0</v>
      </c>
      <c r="E12" s="93"/>
      <c r="F12" s="94"/>
      <c r="G12" s="95"/>
      <c r="H12" s="96" t="s">
        <v>178</v>
      </c>
    </row>
    <row r="13" spans="1:8" ht="15.75" customHeight="1">
      <c r="A13" s="62"/>
      <c r="B13" s="92">
        <v>33974</v>
      </c>
      <c r="C13" s="93">
        <v>25</v>
      </c>
      <c r="D13" s="93">
        <v>0</v>
      </c>
      <c r="E13" s="93"/>
      <c r="F13" s="94"/>
      <c r="G13" s="95"/>
      <c r="H13" s="96"/>
    </row>
    <row r="14" spans="1:8" ht="15.75" customHeight="1" thickBot="1">
      <c r="A14" s="68"/>
      <c r="B14" s="97">
        <v>34002</v>
      </c>
      <c r="C14" s="98">
        <v>29</v>
      </c>
      <c r="D14" s="98">
        <v>0</v>
      </c>
      <c r="E14" s="98"/>
      <c r="F14" s="99"/>
      <c r="G14" s="100"/>
      <c r="H14" s="101"/>
    </row>
    <row r="15" spans="1:8" ht="15.75" customHeight="1" thickBot="1">
      <c r="A15" s="74" t="s">
        <v>106</v>
      </c>
      <c r="B15" s="87">
        <v>34229</v>
      </c>
      <c r="C15" s="88">
        <v>70</v>
      </c>
      <c r="D15" s="88">
        <v>0</v>
      </c>
      <c r="E15" s="88"/>
      <c r="F15" s="89"/>
      <c r="G15" s="90"/>
      <c r="H15" s="91" t="s">
        <v>179</v>
      </c>
    </row>
    <row r="16" spans="1:8" ht="15.75" customHeight="1" thickBot="1">
      <c r="A16" s="74" t="s">
        <v>108</v>
      </c>
      <c r="B16" s="87">
        <v>34611</v>
      </c>
      <c r="C16" s="88">
        <v>55</v>
      </c>
      <c r="D16" s="88">
        <v>0</v>
      </c>
      <c r="E16" s="88"/>
      <c r="F16" s="89"/>
      <c r="G16" s="90"/>
      <c r="H16" s="91"/>
    </row>
    <row r="17" spans="1:8" ht="15.75" customHeight="1">
      <c r="A17" s="56" t="s">
        <v>109</v>
      </c>
      <c r="B17" s="82">
        <v>34973</v>
      </c>
      <c r="C17" s="83">
        <v>0</v>
      </c>
      <c r="D17" s="83">
        <v>0</v>
      </c>
      <c r="E17" s="83"/>
      <c r="F17" s="84"/>
      <c r="G17" s="85"/>
      <c r="H17" s="86"/>
    </row>
    <row r="18" spans="1:8" ht="15.75" customHeight="1" thickBot="1">
      <c r="A18" s="68"/>
      <c r="B18" s="97">
        <v>35024</v>
      </c>
      <c r="C18" s="98">
        <v>30</v>
      </c>
      <c r="D18" s="98">
        <v>0</v>
      </c>
      <c r="E18" s="98"/>
      <c r="F18" s="99"/>
      <c r="G18" s="100"/>
      <c r="H18" s="101"/>
    </row>
    <row r="19" spans="1:8" ht="15.75" customHeight="1" thickBot="1">
      <c r="A19" s="68" t="s">
        <v>110</v>
      </c>
      <c r="B19" s="97"/>
      <c r="C19" s="111"/>
      <c r="D19" s="98"/>
      <c r="E19" s="111"/>
      <c r="F19" s="99"/>
      <c r="G19" s="100"/>
      <c r="H19" s="101"/>
    </row>
    <row r="20" spans="1:8" ht="15.75" customHeight="1" thickBot="1">
      <c r="A20" s="68" t="s">
        <v>112</v>
      </c>
      <c r="B20" s="97">
        <v>35719</v>
      </c>
      <c r="C20" s="111">
        <v>1</v>
      </c>
      <c r="D20" s="98">
        <v>0</v>
      </c>
      <c r="E20" s="111"/>
      <c r="F20" s="99"/>
      <c r="G20" s="100" t="s">
        <v>132</v>
      </c>
      <c r="H20" s="101"/>
    </row>
    <row r="21" spans="1:8" s="5" customFormat="1" ht="13.5" thickBot="1">
      <c r="A21" s="68" t="s">
        <v>113</v>
      </c>
      <c r="B21" s="97">
        <v>36110</v>
      </c>
      <c r="C21" s="111">
        <v>1</v>
      </c>
      <c r="D21" s="98">
        <v>0</v>
      </c>
      <c r="E21" s="111"/>
      <c r="F21" s="99"/>
      <c r="G21" s="100" t="s">
        <v>132</v>
      </c>
      <c r="H21" s="101"/>
    </row>
    <row r="22" spans="1:8" s="5" customFormat="1" ht="13.5" thickBot="1">
      <c r="A22" s="68" t="s">
        <v>183</v>
      </c>
      <c r="B22" s="97">
        <v>36439</v>
      </c>
      <c r="C22" s="111">
        <v>1</v>
      </c>
      <c r="D22" s="98">
        <v>0</v>
      </c>
      <c r="E22" s="111"/>
      <c r="F22" s="99"/>
      <c r="G22" s="100" t="s">
        <v>132</v>
      </c>
      <c r="H22" s="117"/>
    </row>
    <row r="23" spans="1:8" s="5" customFormat="1" ht="13.5" thickBot="1">
      <c r="A23" s="147" t="s">
        <v>234</v>
      </c>
      <c r="B23" s="7"/>
      <c r="C23" s="159">
        <v>1</v>
      </c>
      <c r="D23" s="98">
        <v>0</v>
      </c>
      <c r="E23" s="159"/>
      <c r="F23" s="159"/>
      <c r="G23" s="100" t="s">
        <v>132</v>
      </c>
      <c r="H23" s="128"/>
    </row>
    <row r="24" spans="1:8" s="5" customFormat="1" ht="13.5" thickBot="1">
      <c r="A24" s="127" t="s">
        <v>3</v>
      </c>
      <c r="B24" s="19"/>
      <c r="C24" s="179">
        <v>1</v>
      </c>
      <c r="D24" s="98">
        <v>0</v>
      </c>
      <c r="E24" s="179"/>
      <c r="F24" s="179"/>
      <c r="G24" s="100" t="s">
        <v>132</v>
      </c>
      <c r="H24" s="128"/>
    </row>
    <row r="25" spans="1:8" s="5" customFormat="1" ht="13.5" thickBot="1">
      <c r="A25" s="127" t="s">
        <v>10</v>
      </c>
      <c r="B25" s="19"/>
      <c r="C25" s="179">
        <v>1</v>
      </c>
      <c r="D25" s="98">
        <v>0</v>
      </c>
      <c r="E25" s="179"/>
      <c r="F25" s="179"/>
      <c r="G25" s="100" t="s">
        <v>132</v>
      </c>
      <c r="H25" s="128"/>
    </row>
    <row r="26" spans="1:8" s="5" customFormat="1" ht="13.5" thickBot="1">
      <c r="A26" s="127" t="s">
        <v>13</v>
      </c>
      <c r="B26" s="19">
        <v>37809</v>
      </c>
      <c r="C26" s="179">
        <v>1</v>
      </c>
      <c r="D26" s="98">
        <v>0</v>
      </c>
      <c r="E26" s="179"/>
      <c r="F26" s="179"/>
      <c r="G26" s="100" t="s">
        <v>132</v>
      </c>
      <c r="H26" s="128"/>
    </row>
    <row r="27" spans="1:8" s="5" customFormat="1" ht="13.5" thickBot="1">
      <c r="A27" s="127" t="s">
        <v>42</v>
      </c>
      <c r="B27" s="345" t="s">
        <v>60</v>
      </c>
      <c r="C27" s="339"/>
      <c r="D27" s="339"/>
      <c r="E27" s="339"/>
      <c r="F27" s="339"/>
      <c r="G27" s="339"/>
      <c r="H27" s="337"/>
    </row>
    <row r="28" spans="1:5" s="5" customFormat="1" ht="12.75">
      <c r="A28" s="27"/>
      <c r="C28" s="28"/>
      <c r="D28" s="28"/>
      <c r="E28" s="28"/>
    </row>
    <row r="29" spans="1:5" s="5" customFormat="1" ht="12.75">
      <c r="A29" s="27"/>
      <c r="C29" s="28"/>
      <c r="D29" s="28"/>
      <c r="E29" s="28"/>
    </row>
    <row r="30" spans="1:5" s="5" customFormat="1" ht="12.75">
      <c r="A30" s="27"/>
      <c r="C30" s="28"/>
      <c r="D30" s="28"/>
      <c r="E30" s="28"/>
    </row>
    <row r="31" spans="1:5" s="5" customFormat="1" ht="12.75">
      <c r="A31" s="27"/>
      <c r="C31" s="28"/>
      <c r="D31" s="28"/>
      <c r="E31" s="28"/>
    </row>
    <row r="32" spans="1:5" s="5" customFormat="1" ht="12.75">
      <c r="A32" s="27"/>
      <c r="C32" s="28"/>
      <c r="D32" s="28"/>
      <c r="E32" s="28"/>
    </row>
    <row r="33" spans="1:5" s="5" customFormat="1" ht="12.75">
      <c r="A33" s="27"/>
      <c r="C33" s="28"/>
      <c r="D33" s="28"/>
      <c r="E33" s="28"/>
    </row>
    <row r="34" spans="1:5" s="5" customFormat="1" ht="12.75">
      <c r="A34" s="27"/>
      <c r="C34" s="28"/>
      <c r="D34" s="28"/>
      <c r="E34" s="28"/>
    </row>
    <row r="35" spans="1:5" s="5" customFormat="1" ht="12.75">
      <c r="A35" s="27"/>
      <c r="C35" s="28"/>
      <c r="D35" s="28"/>
      <c r="E35" s="28"/>
    </row>
    <row r="36" spans="1:5" s="5" customFormat="1" ht="12.75">
      <c r="A36" s="27"/>
      <c r="C36" s="28"/>
      <c r="D36" s="28"/>
      <c r="E36" s="28"/>
    </row>
    <row r="37" spans="1:5" s="5" customFormat="1" ht="12.75">
      <c r="A37" s="27"/>
      <c r="C37" s="28"/>
      <c r="D37" s="28"/>
      <c r="E37" s="28"/>
    </row>
    <row r="38" spans="1:5" s="5" customFormat="1" ht="12.75">
      <c r="A38" s="27"/>
      <c r="C38" s="28"/>
      <c r="D38" s="28"/>
      <c r="E38" s="28"/>
    </row>
    <row r="39" spans="1:5" s="5" customFormat="1" ht="12.75">
      <c r="A39" s="27"/>
      <c r="C39" s="28"/>
      <c r="D39" s="28"/>
      <c r="E39" s="28"/>
    </row>
    <row r="40" spans="1:5" s="5" customFormat="1" ht="12.75">
      <c r="A40" s="27"/>
      <c r="C40" s="28"/>
      <c r="D40" s="28"/>
      <c r="E40" s="28"/>
    </row>
    <row r="41" spans="1:5" s="5" customFormat="1" ht="12.75">
      <c r="A41" s="27"/>
      <c r="C41" s="28"/>
      <c r="D41" s="28"/>
      <c r="E41" s="28"/>
    </row>
    <row r="42" spans="1:5" s="5" customFormat="1" ht="12.75">
      <c r="A42" s="27"/>
      <c r="C42" s="28"/>
      <c r="D42" s="28"/>
      <c r="E42" s="28"/>
    </row>
    <row r="43" spans="1:5" s="5" customFormat="1" ht="12.75">
      <c r="A43" s="27"/>
      <c r="C43" s="28"/>
      <c r="D43" s="28"/>
      <c r="E43" s="28"/>
    </row>
    <row r="44" spans="1:5" s="5" customFormat="1" ht="12.75">
      <c r="A44" s="27"/>
      <c r="C44" s="28"/>
      <c r="D44" s="28"/>
      <c r="E44" s="28"/>
    </row>
    <row r="45" spans="1:5" s="5" customFormat="1" ht="12.75">
      <c r="A45" s="27"/>
      <c r="C45" s="28"/>
      <c r="D45" s="28"/>
      <c r="E45" s="28"/>
    </row>
    <row r="46" spans="1:5" s="5" customFormat="1" ht="12.75">
      <c r="A46" s="27"/>
      <c r="C46" s="28"/>
      <c r="D46" s="28"/>
      <c r="E46" s="28"/>
    </row>
    <row r="47" spans="1:5" s="5" customFormat="1" ht="12.75">
      <c r="A47" s="27"/>
      <c r="C47" s="28"/>
      <c r="D47" s="28"/>
      <c r="E47" s="28"/>
    </row>
    <row r="48" spans="1:5" s="5" customFormat="1" ht="12.75">
      <c r="A48" s="27"/>
      <c r="C48" s="28"/>
      <c r="D48" s="28"/>
      <c r="E48" s="28"/>
    </row>
    <row r="49" spans="1:5" s="5" customFormat="1" ht="12.75">
      <c r="A49" s="27"/>
      <c r="C49" s="28"/>
      <c r="D49" s="28"/>
      <c r="E49" s="28"/>
    </row>
    <row r="50" spans="1:5" s="5" customFormat="1" ht="12.75">
      <c r="A50" s="27"/>
      <c r="C50" s="28"/>
      <c r="D50" s="28"/>
      <c r="E50" s="28"/>
    </row>
    <row r="51" spans="1:5" s="5" customFormat="1" ht="12.75">
      <c r="A51" s="27"/>
      <c r="C51" s="28"/>
      <c r="D51" s="28"/>
      <c r="E51" s="28"/>
    </row>
    <row r="52" spans="1:5" s="5" customFormat="1" ht="12.75">
      <c r="A52" s="27"/>
      <c r="C52" s="28"/>
      <c r="D52" s="28"/>
      <c r="E52" s="28"/>
    </row>
    <row r="53" spans="1:5" s="5" customFormat="1" ht="12.75">
      <c r="A53" s="27"/>
      <c r="C53" s="28"/>
      <c r="D53" s="28"/>
      <c r="E53" s="28"/>
    </row>
    <row r="54" spans="1:5" s="5" customFormat="1" ht="12.75">
      <c r="A54" s="27"/>
      <c r="C54" s="28"/>
      <c r="D54" s="28"/>
      <c r="E54" s="28"/>
    </row>
    <row r="55" spans="1:5" s="5" customFormat="1" ht="12.75">
      <c r="A55" s="27"/>
      <c r="C55" s="28"/>
      <c r="D55" s="28"/>
      <c r="E55" s="28"/>
    </row>
    <row r="56" spans="1:5" s="5" customFormat="1" ht="12.75">
      <c r="A56" s="27"/>
      <c r="C56" s="28"/>
      <c r="D56" s="28"/>
      <c r="E56" s="28"/>
    </row>
    <row r="57" spans="1:5" s="5" customFormat="1" ht="12.75">
      <c r="A57" s="27"/>
      <c r="C57" s="28"/>
      <c r="D57" s="28"/>
      <c r="E57" s="28"/>
    </row>
    <row r="58" spans="1:5" s="5" customFormat="1" ht="12.75">
      <c r="A58" s="27"/>
      <c r="C58" s="28"/>
      <c r="D58" s="28"/>
      <c r="E58" s="28"/>
    </row>
    <row r="59" spans="1:5" s="5" customFormat="1" ht="12.75">
      <c r="A59" s="27"/>
      <c r="C59" s="28"/>
      <c r="D59" s="28"/>
      <c r="E59" s="28"/>
    </row>
    <row r="60" spans="1:5" s="5" customFormat="1" ht="12.75">
      <c r="A60" s="27"/>
      <c r="C60" s="28"/>
      <c r="D60" s="28"/>
      <c r="E60" s="28"/>
    </row>
    <row r="61" spans="1:5" s="5" customFormat="1" ht="12.75">
      <c r="A61" s="27"/>
      <c r="C61" s="28"/>
      <c r="D61" s="28"/>
      <c r="E61" s="28"/>
    </row>
    <row r="62" spans="1:5" s="5" customFormat="1" ht="12.75">
      <c r="A62" s="27"/>
      <c r="C62" s="28"/>
      <c r="D62" s="28"/>
      <c r="E62" s="28"/>
    </row>
    <row r="63" spans="1:5" s="5" customFormat="1" ht="12.75">
      <c r="A63" s="27"/>
      <c r="C63" s="28"/>
      <c r="D63" s="28"/>
      <c r="E63" s="28"/>
    </row>
    <row r="64" spans="1:5" s="5" customFormat="1" ht="12.75">
      <c r="A64" s="27"/>
      <c r="C64" s="28"/>
      <c r="D64" s="28"/>
      <c r="E64" s="28"/>
    </row>
    <row r="65" spans="1:5" s="5" customFormat="1" ht="12.75">
      <c r="A65" s="27"/>
      <c r="C65" s="28"/>
      <c r="D65" s="28"/>
      <c r="E65" s="28"/>
    </row>
    <row r="66" spans="1:5" s="5" customFormat="1" ht="12.75">
      <c r="A66" s="27"/>
      <c r="C66" s="28"/>
      <c r="D66" s="28"/>
      <c r="E66" s="28"/>
    </row>
    <row r="67" spans="1:5" s="5" customFormat="1" ht="12.75">
      <c r="A67" s="27"/>
      <c r="C67" s="28"/>
      <c r="D67" s="28"/>
      <c r="E67" s="28"/>
    </row>
    <row r="68" spans="1:5" s="5" customFormat="1" ht="12.75">
      <c r="A68" s="27"/>
      <c r="C68" s="28"/>
      <c r="D68" s="28"/>
      <c r="E68" s="28"/>
    </row>
    <row r="69" spans="1:5" s="5" customFormat="1" ht="12.75">
      <c r="A69" s="27"/>
      <c r="C69" s="28"/>
      <c r="D69" s="28"/>
      <c r="E69" s="28"/>
    </row>
    <row r="70" spans="1:5" s="5" customFormat="1" ht="12.75">
      <c r="A70" s="27"/>
      <c r="C70" s="28"/>
      <c r="D70" s="28"/>
      <c r="E70" s="28"/>
    </row>
    <row r="71" spans="1:5" s="5" customFormat="1" ht="12.75">
      <c r="A71" s="27"/>
      <c r="C71" s="28"/>
      <c r="D71" s="28"/>
      <c r="E71" s="28"/>
    </row>
    <row r="72" spans="1:5" s="5" customFormat="1" ht="12.75">
      <c r="A72" s="27"/>
      <c r="C72" s="28"/>
      <c r="D72" s="28"/>
      <c r="E72" s="28"/>
    </row>
    <row r="73" spans="1:5" s="5" customFormat="1" ht="12.75">
      <c r="A73" s="27"/>
      <c r="C73" s="28"/>
      <c r="D73" s="28"/>
      <c r="E73" s="28"/>
    </row>
    <row r="74" spans="1:5" s="5" customFormat="1" ht="12.75">
      <c r="A74" s="27"/>
      <c r="C74" s="28"/>
      <c r="D74" s="28"/>
      <c r="E74" s="28"/>
    </row>
    <row r="75" spans="1:5" s="5" customFormat="1" ht="12.75">
      <c r="A75" s="27"/>
      <c r="C75" s="28"/>
      <c r="D75" s="28"/>
      <c r="E75" s="28"/>
    </row>
    <row r="76" spans="1:5" s="5" customFormat="1" ht="12.75">
      <c r="A76" s="27"/>
      <c r="C76" s="28"/>
      <c r="D76" s="28"/>
      <c r="E76" s="28"/>
    </row>
    <row r="77" spans="1:5" s="5" customFormat="1" ht="12.75">
      <c r="A77" s="27"/>
      <c r="C77" s="28"/>
      <c r="D77" s="28"/>
      <c r="E77" s="28"/>
    </row>
    <row r="78" spans="1:5" s="5" customFormat="1" ht="12.75">
      <c r="A78" s="27"/>
      <c r="C78" s="28"/>
      <c r="D78" s="28"/>
      <c r="E78" s="28"/>
    </row>
    <row r="79" spans="1:5" s="5" customFormat="1" ht="12.75">
      <c r="A79" s="27"/>
      <c r="C79" s="28"/>
      <c r="D79" s="28"/>
      <c r="E79" s="28"/>
    </row>
    <row r="80" spans="1:5" s="5" customFormat="1" ht="12.75">
      <c r="A80" s="27"/>
      <c r="C80" s="28"/>
      <c r="D80" s="28"/>
      <c r="E80" s="28"/>
    </row>
    <row r="81" spans="1:5" s="5" customFormat="1" ht="12.75">
      <c r="A81" s="27"/>
      <c r="C81" s="28"/>
      <c r="D81" s="28"/>
      <c r="E81" s="28"/>
    </row>
    <row r="82" spans="1:5" s="5" customFormat="1" ht="12.75">
      <c r="A82" s="27"/>
      <c r="C82" s="28"/>
      <c r="D82" s="28"/>
      <c r="E82" s="28"/>
    </row>
    <row r="83" spans="1:5" s="5" customFormat="1" ht="12.75">
      <c r="A83" s="27"/>
      <c r="C83" s="28"/>
      <c r="D83" s="28"/>
      <c r="E83" s="28"/>
    </row>
    <row r="84" spans="1:8" ht="12.75">
      <c r="A84" s="27"/>
      <c r="B84" s="5"/>
      <c r="C84" s="28"/>
      <c r="D84" s="28"/>
      <c r="E84" s="28"/>
      <c r="F84" s="5"/>
      <c r="G84" s="5"/>
      <c r="H84" s="5"/>
    </row>
    <row r="85" spans="1:8" ht="12.75">
      <c r="A85" s="27"/>
      <c r="B85" s="5"/>
      <c r="C85" s="28"/>
      <c r="D85" s="28"/>
      <c r="E85" s="28"/>
      <c r="F85" s="5"/>
      <c r="G85" s="5"/>
      <c r="H85" s="5"/>
    </row>
    <row r="86" spans="1:8" ht="12.75">
      <c r="A86" s="27"/>
      <c r="B86" s="5"/>
      <c r="C86" s="28"/>
      <c r="D86" s="28"/>
      <c r="E86" s="28"/>
      <c r="F86" s="5"/>
      <c r="G86" s="5"/>
      <c r="H86" s="5"/>
    </row>
    <row r="87" spans="1:8" ht="12.75">
      <c r="A87" s="27"/>
      <c r="B87" s="5"/>
      <c r="C87" s="28"/>
      <c r="D87" s="28"/>
      <c r="E87" s="28"/>
      <c r="F87" s="5"/>
      <c r="G87" s="5"/>
      <c r="H87" s="5"/>
    </row>
    <row r="88" spans="1:8" ht="12.75">
      <c r="A88" s="27"/>
      <c r="B88" s="5"/>
      <c r="C88" s="28"/>
      <c r="D88" s="28"/>
      <c r="E88" s="28"/>
      <c r="F88" s="5"/>
      <c r="G88" s="5"/>
      <c r="H88" s="5"/>
    </row>
    <row r="89" spans="1:8" ht="12.75">
      <c r="A89" s="27"/>
      <c r="B89" s="5"/>
      <c r="C89" s="28"/>
      <c r="D89" s="28"/>
      <c r="E89" s="28"/>
      <c r="F89" s="5"/>
      <c r="G89" s="5"/>
      <c r="H89" s="5"/>
    </row>
    <row r="90" spans="1:8" ht="12.75">
      <c r="A90" s="27"/>
      <c r="B90" s="5"/>
      <c r="C90" s="28"/>
      <c r="D90" s="28"/>
      <c r="E90" s="28"/>
      <c r="F90" s="5"/>
      <c r="G90" s="5"/>
      <c r="H90" s="5"/>
    </row>
    <row r="91" spans="1:8" ht="12.75">
      <c r="A91" s="27"/>
      <c r="B91" s="5"/>
      <c r="C91" s="28"/>
      <c r="D91" s="28"/>
      <c r="E91" s="28"/>
      <c r="F91" s="5"/>
      <c r="G91" s="5"/>
      <c r="H91" s="5"/>
    </row>
    <row r="92" spans="1:8" ht="12.75">
      <c r="A92" s="27"/>
      <c r="B92" s="5"/>
      <c r="C92" s="28"/>
      <c r="D92" s="28"/>
      <c r="E92" s="28"/>
      <c r="F92" s="5"/>
      <c r="G92" s="5"/>
      <c r="H92" s="5"/>
    </row>
    <row r="93" spans="1:8" ht="12.75">
      <c r="A93" s="27"/>
      <c r="B93" s="5"/>
      <c r="C93" s="28"/>
      <c r="D93" s="28"/>
      <c r="E93" s="28"/>
      <c r="F93" s="5"/>
      <c r="G93" s="5"/>
      <c r="H93" s="5"/>
    </row>
    <row r="94" spans="1:8" ht="12.75">
      <c r="A94" s="27"/>
      <c r="B94" s="5"/>
      <c r="C94" s="28"/>
      <c r="D94" s="28"/>
      <c r="E94" s="28"/>
      <c r="F94" s="5"/>
      <c r="G94" s="5"/>
      <c r="H94" s="5"/>
    </row>
    <row r="95" spans="1:8" ht="12.75">
      <c r="A95" s="27"/>
      <c r="B95" s="5"/>
      <c r="C95" s="28"/>
      <c r="D95" s="28"/>
      <c r="E95" s="28"/>
      <c r="F95" s="5"/>
      <c r="G95" s="5"/>
      <c r="H95" s="5"/>
    </row>
    <row r="96" spans="1:8" ht="12.75">
      <c r="A96" s="27"/>
      <c r="B96" s="5"/>
      <c r="C96" s="28"/>
      <c r="D96" s="28"/>
      <c r="E96" s="28"/>
      <c r="F96" s="5"/>
      <c r="G96" s="5"/>
      <c r="H96" s="5"/>
    </row>
    <row r="97" spans="1:8" ht="12.75">
      <c r="A97" s="27"/>
      <c r="B97" s="5"/>
      <c r="C97" s="28"/>
      <c r="D97" s="28"/>
      <c r="E97" s="28"/>
      <c r="F97" s="5"/>
      <c r="G97" s="5"/>
      <c r="H97" s="5"/>
    </row>
    <row r="98" spans="1:8" ht="12.75">
      <c r="A98" s="27"/>
      <c r="B98" s="5"/>
      <c r="C98" s="28"/>
      <c r="D98" s="28"/>
      <c r="E98" s="28"/>
      <c r="F98" s="5"/>
      <c r="G98" s="5"/>
      <c r="H98" s="5"/>
    </row>
    <row r="99" spans="1:8" ht="12.75">
      <c r="A99" s="27"/>
      <c r="B99" s="5"/>
      <c r="C99" s="28"/>
      <c r="D99" s="28"/>
      <c r="E99" s="28"/>
      <c r="F99" s="5"/>
      <c r="G99" s="5"/>
      <c r="H99" s="5"/>
    </row>
    <row r="100" spans="1:8" ht="12.75">
      <c r="A100" s="27"/>
      <c r="B100" s="5"/>
      <c r="C100" s="28"/>
      <c r="D100" s="28"/>
      <c r="E100" s="28"/>
      <c r="F100" s="5"/>
      <c r="G100" s="5"/>
      <c r="H100" s="5"/>
    </row>
    <row r="101" spans="1:8" ht="12.75">
      <c r="A101" s="27"/>
      <c r="B101" s="5"/>
      <c r="C101" s="28"/>
      <c r="D101" s="28"/>
      <c r="E101" s="28"/>
      <c r="F101" s="5"/>
      <c r="G101" s="5"/>
      <c r="H101" s="5"/>
    </row>
    <row r="102" spans="1:8" ht="12.75">
      <c r="A102" s="27"/>
      <c r="B102" s="5"/>
      <c r="C102" s="28"/>
      <c r="D102" s="28"/>
      <c r="E102" s="28"/>
      <c r="F102" s="5"/>
      <c r="G102" s="5"/>
      <c r="H102" s="5"/>
    </row>
    <row r="103" spans="1:8" ht="12.75">
      <c r="A103" s="27"/>
      <c r="B103" s="5"/>
      <c r="C103" s="28"/>
      <c r="D103" s="28"/>
      <c r="E103" s="28"/>
      <c r="F103" s="5"/>
      <c r="G103" s="5"/>
      <c r="H103" s="5"/>
    </row>
    <row r="104" spans="1:8" ht="12.75">
      <c r="A104" s="27"/>
      <c r="B104" s="5"/>
      <c r="C104" s="28"/>
      <c r="D104" s="28"/>
      <c r="E104" s="28"/>
      <c r="F104" s="5"/>
      <c r="G104" s="5"/>
      <c r="H104" s="5"/>
    </row>
    <row r="105" spans="1:8" ht="12.75">
      <c r="A105" s="27"/>
      <c r="B105" s="5"/>
      <c r="C105" s="28"/>
      <c r="D105" s="28"/>
      <c r="E105" s="28"/>
      <c r="F105" s="5"/>
      <c r="G105" s="5"/>
      <c r="H105" s="5"/>
    </row>
    <row r="106" spans="1:8" ht="12.75">
      <c r="A106" s="27"/>
      <c r="B106" s="5"/>
      <c r="C106" s="28"/>
      <c r="D106" s="28"/>
      <c r="E106" s="28"/>
      <c r="F106" s="5"/>
      <c r="G106" s="5"/>
      <c r="H106" s="5"/>
    </row>
    <row r="107" spans="1:8" ht="12.75">
      <c r="A107" s="27"/>
      <c r="B107" s="5"/>
      <c r="C107" s="28"/>
      <c r="D107" s="28"/>
      <c r="E107" s="28"/>
      <c r="F107" s="5"/>
      <c r="G107" s="5"/>
      <c r="H107" s="5"/>
    </row>
    <row r="108" spans="1:8" ht="12.75">
      <c r="A108" s="27"/>
      <c r="B108" s="5"/>
      <c r="C108" s="28"/>
      <c r="D108" s="28"/>
      <c r="E108" s="28"/>
      <c r="F108" s="5"/>
      <c r="G108" s="5"/>
      <c r="H108" s="5"/>
    </row>
    <row r="109" spans="1:8" ht="12.75">
      <c r="A109" s="27"/>
      <c r="B109" s="5"/>
      <c r="C109" s="28"/>
      <c r="D109" s="28"/>
      <c r="E109" s="28"/>
      <c r="F109" s="5"/>
      <c r="G109" s="5"/>
      <c r="H109" s="5"/>
    </row>
    <row r="110" spans="1:8" ht="12.75">
      <c r="A110" s="27"/>
      <c r="B110" s="5"/>
      <c r="C110" s="28"/>
      <c r="D110" s="28"/>
      <c r="E110" s="28"/>
      <c r="F110" s="5"/>
      <c r="G110" s="5"/>
      <c r="H110" s="5"/>
    </row>
    <row r="111" spans="1:8" ht="12.75">
      <c r="A111" s="27"/>
      <c r="B111" s="5"/>
      <c r="C111" s="28"/>
      <c r="D111" s="28"/>
      <c r="E111" s="28"/>
      <c r="F111" s="5"/>
      <c r="G111" s="5"/>
      <c r="H111" s="5"/>
    </row>
    <row r="112" spans="1:8" ht="12.75">
      <c r="A112" s="27"/>
      <c r="B112" s="5"/>
      <c r="C112" s="28"/>
      <c r="D112" s="28"/>
      <c r="E112" s="28"/>
      <c r="F112" s="5"/>
      <c r="G112" s="5"/>
      <c r="H112" s="5"/>
    </row>
    <row r="113" spans="1:8" ht="12.75">
      <c r="A113" s="27"/>
      <c r="B113" s="5"/>
      <c r="C113" s="28"/>
      <c r="D113" s="28"/>
      <c r="E113" s="28"/>
      <c r="F113" s="5"/>
      <c r="G113" s="5"/>
      <c r="H113" s="5"/>
    </row>
    <row r="114" spans="1:8" ht="12.75">
      <c r="A114" s="27"/>
      <c r="B114" s="5"/>
      <c r="C114" s="28"/>
      <c r="D114" s="28"/>
      <c r="E114" s="28"/>
      <c r="F114" s="5"/>
      <c r="G114" s="5"/>
      <c r="H114" s="5"/>
    </row>
    <row r="115" spans="1:8" ht="12.75">
      <c r="A115" s="27"/>
      <c r="B115" s="5"/>
      <c r="C115" s="28"/>
      <c r="D115" s="28"/>
      <c r="E115" s="28"/>
      <c r="F115" s="5"/>
      <c r="G115" s="5"/>
      <c r="H115" s="5"/>
    </row>
    <row r="116" spans="1:8" ht="12.75">
      <c r="A116" s="27"/>
      <c r="B116" s="5"/>
      <c r="C116" s="28"/>
      <c r="D116" s="28"/>
      <c r="E116" s="28"/>
      <c r="F116" s="5"/>
      <c r="G116" s="5"/>
      <c r="H116" s="5"/>
    </row>
    <row r="117" spans="1:8" ht="12.75">
      <c r="A117" s="27"/>
      <c r="B117" s="5"/>
      <c r="C117" s="28"/>
      <c r="D117" s="28"/>
      <c r="E117" s="28"/>
      <c r="F117" s="5"/>
      <c r="G117" s="5"/>
      <c r="H117" s="5"/>
    </row>
    <row r="118" spans="1:8" ht="12.75">
      <c r="A118" s="27"/>
      <c r="B118" s="5"/>
      <c r="C118" s="28"/>
      <c r="D118" s="28"/>
      <c r="E118" s="28"/>
      <c r="F118" s="5"/>
      <c r="G118" s="5"/>
      <c r="H118" s="5"/>
    </row>
    <row r="119" spans="1:8" ht="12.75">
      <c r="A119" s="27"/>
      <c r="B119" s="5"/>
      <c r="C119" s="28"/>
      <c r="D119" s="28"/>
      <c r="E119" s="28"/>
      <c r="F119" s="5"/>
      <c r="G119" s="5"/>
      <c r="H119" s="5"/>
    </row>
    <row r="120" spans="1:8" ht="12.75">
      <c r="A120" s="27"/>
      <c r="B120" s="5"/>
      <c r="C120" s="28"/>
      <c r="D120" s="28"/>
      <c r="E120" s="28"/>
      <c r="F120" s="5"/>
      <c r="G120" s="5"/>
      <c r="H120" s="5"/>
    </row>
    <row r="121" spans="1:8" ht="12.75">
      <c r="A121" s="27"/>
      <c r="B121" s="5"/>
      <c r="C121" s="28"/>
      <c r="D121" s="28"/>
      <c r="E121" s="28"/>
      <c r="F121" s="5"/>
      <c r="G121" s="5"/>
      <c r="H121" s="5"/>
    </row>
    <row r="122" spans="1:8" ht="12.75">
      <c r="A122" s="27"/>
      <c r="B122" s="5"/>
      <c r="C122" s="28"/>
      <c r="D122" s="28"/>
      <c r="E122" s="28"/>
      <c r="F122" s="5"/>
      <c r="G122" s="5"/>
      <c r="H122" s="5"/>
    </row>
    <row r="123" spans="1:8" ht="12.75">
      <c r="A123" s="27"/>
      <c r="B123" s="5"/>
      <c r="C123" s="28"/>
      <c r="D123" s="28"/>
      <c r="E123" s="28"/>
      <c r="F123" s="5"/>
      <c r="G123" s="5"/>
      <c r="H123" s="5"/>
    </row>
    <row r="124" spans="1:8" ht="12.75">
      <c r="A124" s="27"/>
      <c r="B124" s="5"/>
      <c r="C124" s="28"/>
      <c r="D124" s="28"/>
      <c r="E124" s="28"/>
      <c r="F124" s="5"/>
      <c r="G124" s="5"/>
      <c r="H124" s="5"/>
    </row>
    <row r="125" spans="1:8" ht="12.75">
      <c r="A125" s="27"/>
      <c r="B125" s="5"/>
      <c r="C125" s="28"/>
      <c r="D125" s="28"/>
      <c r="E125" s="28"/>
      <c r="F125" s="5"/>
      <c r="G125" s="5"/>
      <c r="H125" s="5"/>
    </row>
    <row r="126" spans="1:8" ht="12.75">
      <c r="A126" s="27"/>
      <c r="B126" s="5"/>
      <c r="C126" s="28"/>
      <c r="D126" s="28"/>
      <c r="E126" s="28"/>
      <c r="F126" s="5"/>
      <c r="G126" s="5"/>
      <c r="H126" s="5"/>
    </row>
    <row r="127" spans="1:8" ht="12.75">
      <c r="A127" s="27"/>
      <c r="B127" s="5"/>
      <c r="C127" s="28"/>
      <c r="D127" s="28"/>
      <c r="E127" s="28"/>
      <c r="F127" s="5"/>
      <c r="G127" s="5"/>
      <c r="H127" s="5"/>
    </row>
    <row r="128" spans="1:8" ht="12.75">
      <c r="A128" s="27"/>
      <c r="B128" s="5"/>
      <c r="C128" s="28"/>
      <c r="D128" s="28"/>
      <c r="E128" s="28"/>
      <c r="F128" s="5"/>
      <c r="G128" s="5"/>
      <c r="H128" s="5"/>
    </row>
    <row r="129" spans="1:8" ht="12.75">
      <c r="A129" s="27"/>
      <c r="B129" s="5"/>
      <c r="C129" s="28"/>
      <c r="D129" s="28"/>
      <c r="E129" s="28"/>
      <c r="F129" s="5"/>
      <c r="G129" s="5"/>
      <c r="H129" s="5"/>
    </row>
    <row r="130" spans="1:8" ht="12.75">
      <c r="A130" s="27"/>
      <c r="B130" s="5"/>
      <c r="C130" s="28"/>
      <c r="D130" s="28"/>
      <c r="E130" s="28"/>
      <c r="F130" s="5"/>
      <c r="G130" s="5"/>
      <c r="H130" s="5"/>
    </row>
    <row r="131" spans="1:8" ht="12.75">
      <c r="A131" s="27"/>
      <c r="B131" s="5"/>
      <c r="C131" s="28"/>
      <c r="D131" s="28"/>
      <c r="E131" s="28"/>
      <c r="F131" s="5"/>
      <c r="G131" s="5"/>
      <c r="H131" s="5"/>
    </row>
    <row r="132" spans="1:8" ht="12.75">
      <c r="A132" s="27"/>
      <c r="B132" s="5"/>
      <c r="C132" s="28"/>
      <c r="D132" s="28"/>
      <c r="E132" s="28"/>
      <c r="F132" s="5"/>
      <c r="G132" s="5"/>
      <c r="H132" s="5"/>
    </row>
    <row r="133" spans="1:8" ht="12.75">
      <c r="A133" s="27"/>
      <c r="B133" s="5"/>
      <c r="C133" s="28"/>
      <c r="D133" s="28"/>
      <c r="E133" s="28"/>
      <c r="F133" s="5"/>
      <c r="G133" s="5"/>
      <c r="H133" s="5"/>
    </row>
    <row r="134" spans="1:8" ht="12.75">
      <c r="A134" s="27"/>
      <c r="B134" s="5"/>
      <c r="C134" s="28"/>
      <c r="D134" s="28"/>
      <c r="E134" s="28"/>
      <c r="F134" s="5"/>
      <c r="G134" s="5"/>
      <c r="H134" s="5"/>
    </row>
    <row r="135" spans="1:8" ht="12.75">
      <c r="A135" s="27"/>
      <c r="B135" s="5"/>
      <c r="C135" s="28"/>
      <c r="D135" s="28"/>
      <c r="E135" s="28"/>
      <c r="F135" s="5"/>
      <c r="G135" s="5"/>
      <c r="H135" s="5"/>
    </row>
    <row r="136" spans="1:8" ht="12.75">
      <c r="A136" s="27"/>
      <c r="B136" s="5"/>
      <c r="C136" s="28"/>
      <c r="D136" s="28"/>
      <c r="E136" s="28"/>
      <c r="F136" s="5"/>
      <c r="G136" s="5"/>
      <c r="H136" s="5"/>
    </row>
    <row r="137" spans="1:8" ht="12.75">
      <c r="A137" s="27"/>
      <c r="B137" s="5"/>
      <c r="C137" s="28"/>
      <c r="D137" s="28"/>
      <c r="E137" s="28"/>
      <c r="F137" s="5"/>
      <c r="G137" s="5"/>
      <c r="H137" s="5"/>
    </row>
    <row r="138" spans="1:8" ht="12.75">
      <c r="A138" s="27"/>
      <c r="B138" s="5"/>
      <c r="C138" s="28"/>
      <c r="D138" s="28"/>
      <c r="E138" s="28"/>
      <c r="F138" s="5"/>
      <c r="G138" s="5"/>
      <c r="H138" s="5"/>
    </row>
    <row r="139" spans="1:8" ht="12.75">
      <c r="A139" s="27"/>
      <c r="B139" s="5"/>
      <c r="C139" s="28"/>
      <c r="D139" s="28"/>
      <c r="E139" s="28"/>
      <c r="F139" s="5"/>
      <c r="G139" s="5"/>
      <c r="H139" s="5"/>
    </row>
    <row r="140" spans="1:8" ht="12.75">
      <c r="A140" s="27"/>
      <c r="B140" s="5"/>
      <c r="C140" s="28"/>
      <c r="D140" s="28"/>
      <c r="E140" s="28"/>
      <c r="F140" s="5"/>
      <c r="G140" s="5"/>
      <c r="H140" s="5"/>
    </row>
    <row r="141" spans="1:8" ht="12.75">
      <c r="A141" s="27"/>
      <c r="B141" s="5"/>
      <c r="C141" s="28"/>
      <c r="D141" s="28"/>
      <c r="E141" s="28"/>
      <c r="F141" s="5"/>
      <c r="G141" s="5"/>
      <c r="H141" s="5"/>
    </row>
    <row r="142" spans="1:8" ht="12.75">
      <c r="A142" s="27"/>
      <c r="B142" s="5"/>
      <c r="C142" s="28"/>
      <c r="D142" s="28"/>
      <c r="E142" s="28"/>
      <c r="F142" s="5"/>
      <c r="G142" s="5"/>
      <c r="H142" s="5"/>
    </row>
    <row r="143" spans="1:8" ht="12.75">
      <c r="A143" s="27"/>
      <c r="B143" s="5"/>
      <c r="C143" s="28"/>
      <c r="D143" s="28"/>
      <c r="E143" s="28"/>
      <c r="F143" s="5"/>
      <c r="G143" s="5"/>
      <c r="H143" s="5"/>
    </row>
    <row r="144" spans="1:8" ht="12.75">
      <c r="A144" s="27"/>
      <c r="B144" s="5"/>
      <c r="C144" s="28"/>
      <c r="D144" s="28"/>
      <c r="E144" s="28"/>
      <c r="F144" s="5"/>
      <c r="G144" s="5"/>
      <c r="H144" s="5"/>
    </row>
    <row r="145" spans="1:8" ht="12.75">
      <c r="A145" s="27"/>
      <c r="B145" s="5"/>
      <c r="C145" s="28"/>
      <c r="D145" s="28"/>
      <c r="E145" s="28"/>
      <c r="F145" s="5"/>
      <c r="G145" s="5"/>
      <c r="H145" s="5"/>
    </row>
    <row r="146" spans="1:8" ht="12.75">
      <c r="A146" s="27"/>
      <c r="B146" s="5"/>
      <c r="C146" s="28"/>
      <c r="D146" s="28"/>
      <c r="E146" s="28"/>
      <c r="F146" s="5"/>
      <c r="G146" s="5"/>
      <c r="H146" s="5"/>
    </row>
    <row r="147" spans="1:8" ht="12.75">
      <c r="A147" s="27"/>
      <c r="B147" s="5"/>
      <c r="C147" s="28"/>
      <c r="D147" s="28"/>
      <c r="E147" s="28"/>
      <c r="F147" s="5"/>
      <c r="G147" s="5"/>
      <c r="H147" s="5"/>
    </row>
    <row r="148" spans="1:8" ht="12.75">
      <c r="A148" s="27"/>
      <c r="B148" s="5"/>
      <c r="C148" s="28"/>
      <c r="D148" s="28"/>
      <c r="E148" s="28"/>
      <c r="F148" s="5"/>
      <c r="G148" s="5"/>
      <c r="H148" s="5"/>
    </row>
    <row r="149" spans="1:8" ht="12.75">
      <c r="A149" s="27"/>
      <c r="B149" s="5"/>
      <c r="C149" s="28"/>
      <c r="D149" s="28"/>
      <c r="E149" s="28"/>
      <c r="F149" s="5"/>
      <c r="G149" s="5"/>
      <c r="H149" s="5"/>
    </row>
    <row r="150" spans="1:8" ht="12.75">
      <c r="A150" s="27"/>
      <c r="B150" s="5"/>
      <c r="C150" s="28"/>
      <c r="D150" s="28"/>
      <c r="E150" s="28"/>
      <c r="F150" s="5"/>
      <c r="G150" s="5"/>
      <c r="H150" s="5"/>
    </row>
    <row r="151" spans="1:8" ht="12.75">
      <c r="A151" s="27"/>
      <c r="B151" s="5"/>
      <c r="C151" s="28"/>
      <c r="D151" s="28"/>
      <c r="E151" s="28"/>
      <c r="F151" s="5"/>
      <c r="G151" s="5"/>
      <c r="H151" s="5"/>
    </row>
    <row r="152" spans="1:8" ht="12.75">
      <c r="A152" s="27"/>
      <c r="B152" s="5"/>
      <c r="C152" s="28"/>
      <c r="D152" s="28"/>
      <c r="E152" s="28"/>
      <c r="F152" s="5"/>
      <c r="G152" s="5"/>
      <c r="H152" s="5"/>
    </row>
    <row r="153" spans="1:8" ht="12.75">
      <c r="A153" s="27"/>
      <c r="B153" s="5"/>
      <c r="C153" s="28"/>
      <c r="D153" s="28"/>
      <c r="E153" s="28"/>
      <c r="F153" s="5"/>
      <c r="G153" s="5"/>
      <c r="H153" s="5"/>
    </row>
    <row r="154" spans="1:8" ht="12.75">
      <c r="A154" s="27"/>
      <c r="B154" s="5"/>
      <c r="C154" s="28"/>
      <c r="D154" s="28"/>
      <c r="E154" s="28"/>
      <c r="F154" s="5"/>
      <c r="G154" s="5"/>
      <c r="H154" s="5"/>
    </row>
    <row r="155" spans="1:8" ht="12.75">
      <c r="A155" s="27"/>
      <c r="B155" s="5"/>
      <c r="C155" s="28"/>
      <c r="D155" s="28"/>
      <c r="E155" s="28"/>
      <c r="F155" s="5"/>
      <c r="G155" s="5"/>
      <c r="H155" s="5"/>
    </row>
    <row r="156" spans="1:8" ht="12.75">
      <c r="A156" s="27"/>
      <c r="B156" s="5"/>
      <c r="C156" s="28"/>
      <c r="D156" s="28"/>
      <c r="E156" s="28"/>
      <c r="F156" s="5"/>
      <c r="G156" s="5"/>
      <c r="H156" s="5"/>
    </row>
    <row r="157" spans="1:8" ht="12.75">
      <c r="A157" s="27"/>
      <c r="B157" s="5"/>
      <c r="C157" s="28"/>
      <c r="D157" s="28"/>
      <c r="E157" s="28"/>
      <c r="F157" s="5"/>
      <c r="G157" s="5"/>
      <c r="H157" s="5"/>
    </row>
    <row r="158" spans="1:8" ht="12.75">
      <c r="A158" s="27"/>
      <c r="B158" s="5"/>
      <c r="C158" s="28"/>
      <c r="D158" s="28"/>
      <c r="E158" s="28"/>
      <c r="F158" s="5"/>
      <c r="G158" s="5"/>
      <c r="H158" s="5"/>
    </row>
    <row r="159" spans="1:8" ht="12.75">
      <c r="A159" s="27"/>
      <c r="B159" s="5"/>
      <c r="C159" s="28"/>
      <c r="D159" s="28"/>
      <c r="E159" s="28"/>
      <c r="F159" s="5"/>
      <c r="G159" s="5"/>
      <c r="H159" s="5"/>
    </row>
    <row r="160" spans="1:8" ht="12.75">
      <c r="A160" s="27"/>
      <c r="B160" s="5"/>
      <c r="C160" s="28"/>
      <c r="D160" s="28"/>
      <c r="E160" s="28"/>
      <c r="F160" s="5"/>
      <c r="G160" s="5"/>
      <c r="H160" s="5"/>
    </row>
    <row r="161" spans="1:8" ht="12.75">
      <c r="A161" s="27"/>
      <c r="B161" s="5"/>
      <c r="C161" s="28"/>
      <c r="D161" s="28"/>
      <c r="E161" s="28"/>
      <c r="F161" s="5"/>
      <c r="G161" s="5"/>
      <c r="H161" s="5"/>
    </row>
    <row r="162" spans="1:8" ht="12.75">
      <c r="A162" s="27"/>
      <c r="B162" s="5"/>
      <c r="C162" s="28"/>
      <c r="D162" s="28"/>
      <c r="E162" s="28"/>
      <c r="F162" s="5"/>
      <c r="G162" s="5"/>
      <c r="H162" s="5"/>
    </row>
    <row r="163" spans="1:8" ht="12.75">
      <c r="A163" s="27"/>
      <c r="B163" s="5"/>
      <c r="C163" s="28"/>
      <c r="D163" s="28"/>
      <c r="E163" s="28"/>
      <c r="F163" s="5"/>
      <c r="G163" s="5"/>
      <c r="H163" s="5"/>
    </row>
    <row r="164" spans="1:8" ht="12.75">
      <c r="A164" s="27"/>
      <c r="B164" s="5"/>
      <c r="C164" s="28"/>
      <c r="D164" s="28"/>
      <c r="E164" s="28"/>
      <c r="F164" s="5"/>
      <c r="G164" s="5"/>
      <c r="H164" s="5"/>
    </row>
    <row r="165" spans="1:8" ht="12.75">
      <c r="A165" s="27"/>
      <c r="B165" s="5"/>
      <c r="C165" s="28"/>
      <c r="D165" s="28"/>
      <c r="E165" s="28"/>
      <c r="F165" s="5"/>
      <c r="G165" s="5"/>
      <c r="H165" s="5"/>
    </row>
    <row r="166" spans="1:8" ht="12.75">
      <c r="A166" s="27"/>
      <c r="B166" s="5"/>
      <c r="C166" s="28"/>
      <c r="D166" s="28"/>
      <c r="E166" s="28"/>
      <c r="F166" s="5"/>
      <c r="G166" s="5"/>
      <c r="H166" s="5"/>
    </row>
    <row r="167" spans="1:8" ht="12.75">
      <c r="A167" s="27"/>
      <c r="B167" s="5"/>
      <c r="C167" s="28"/>
      <c r="D167" s="28"/>
      <c r="E167" s="28"/>
      <c r="F167" s="5"/>
      <c r="G167" s="5"/>
      <c r="H167" s="5"/>
    </row>
    <row r="168" spans="1:8" ht="12.75">
      <c r="A168" s="27"/>
      <c r="B168" s="5"/>
      <c r="C168" s="28"/>
      <c r="D168" s="28"/>
      <c r="E168" s="28"/>
      <c r="F168" s="5"/>
      <c r="G168" s="5"/>
      <c r="H168" s="5"/>
    </row>
    <row r="169" spans="1:8" ht="12.75">
      <c r="A169" s="27"/>
      <c r="B169" s="5"/>
      <c r="C169" s="28"/>
      <c r="D169" s="28"/>
      <c r="E169" s="28"/>
      <c r="F169" s="5"/>
      <c r="G169" s="5"/>
      <c r="H169" s="5"/>
    </row>
    <row r="170" spans="1:8" ht="12.75">
      <c r="A170" s="27"/>
      <c r="B170" s="5"/>
      <c r="C170" s="28"/>
      <c r="D170" s="28"/>
      <c r="E170" s="28"/>
      <c r="F170" s="5"/>
      <c r="G170" s="5"/>
      <c r="H170" s="5"/>
    </row>
    <row r="171" spans="1:8" ht="12.75">
      <c r="A171" s="27"/>
      <c r="B171" s="5"/>
      <c r="C171" s="28"/>
      <c r="D171" s="28"/>
      <c r="E171" s="28"/>
      <c r="F171" s="5"/>
      <c r="G171" s="5"/>
      <c r="H171" s="5"/>
    </row>
    <row r="172" spans="1:8" ht="12.75">
      <c r="A172" s="27"/>
      <c r="B172" s="5"/>
      <c r="C172" s="28"/>
      <c r="D172" s="28"/>
      <c r="E172" s="28"/>
      <c r="F172" s="5"/>
      <c r="G172" s="5"/>
      <c r="H172" s="5"/>
    </row>
    <row r="173" spans="1:8" ht="12.75">
      <c r="A173" s="27"/>
      <c r="B173" s="5"/>
      <c r="C173" s="28"/>
      <c r="D173" s="28"/>
      <c r="E173" s="28"/>
      <c r="F173" s="5"/>
      <c r="G173" s="5"/>
      <c r="H173" s="5"/>
    </row>
    <row r="174" spans="1:8" ht="12.75">
      <c r="A174" s="27"/>
      <c r="B174" s="5"/>
      <c r="C174" s="28"/>
      <c r="D174" s="28"/>
      <c r="E174" s="28"/>
      <c r="F174" s="5"/>
      <c r="G174" s="5"/>
      <c r="H174" s="5"/>
    </row>
    <row r="175" spans="1:8" ht="12.75">
      <c r="A175" s="27"/>
      <c r="B175" s="5"/>
      <c r="C175" s="28"/>
      <c r="D175" s="28"/>
      <c r="E175" s="28"/>
      <c r="F175" s="5"/>
      <c r="G175" s="5"/>
      <c r="H175" s="5"/>
    </row>
    <row r="176" spans="1:8" ht="12.75">
      <c r="A176" s="27"/>
      <c r="B176" s="5"/>
      <c r="C176" s="28"/>
      <c r="D176" s="28"/>
      <c r="E176" s="28"/>
      <c r="F176" s="5"/>
      <c r="G176" s="5"/>
      <c r="H176" s="5"/>
    </row>
    <row r="177" spans="1:8" ht="12.75">
      <c r="A177" s="27"/>
      <c r="B177" s="5"/>
      <c r="C177" s="28"/>
      <c r="D177" s="28"/>
      <c r="E177" s="28"/>
      <c r="F177" s="5"/>
      <c r="G177" s="5"/>
      <c r="H177" s="5"/>
    </row>
    <row r="178" spans="1:8" ht="12.75">
      <c r="A178" s="27"/>
      <c r="B178" s="5"/>
      <c r="C178" s="28"/>
      <c r="D178" s="28"/>
      <c r="E178" s="28"/>
      <c r="F178" s="5"/>
      <c r="G178" s="5"/>
      <c r="H178" s="5"/>
    </row>
    <row r="179" spans="1:8" ht="12.75">
      <c r="A179" s="27"/>
      <c r="B179" s="5"/>
      <c r="C179" s="28"/>
      <c r="D179" s="28"/>
      <c r="E179" s="28"/>
      <c r="F179" s="5"/>
      <c r="G179" s="5"/>
      <c r="H179" s="5"/>
    </row>
    <row r="180" spans="1:8" ht="12.75">
      <c r="A180" s="27"/>
      <c r="B180" s="5"/>
      <c r="C180" s="28"/>
      <c r="D180" s="28"/>
      <c r="E180" s="28"/>
      <c r="F180" s="5"/>
      <c r="G180" s="5"/>
      <c r="H180" s="5"/>
    </row>
    <row r="181" spans="1:8" ht="12.75">
      <c r="A181" s="27"/>
      <c r="B181" s="5"/>
      <c r="C181" s="28"/>
      <c r="D181" s="28"/>
      <c r="E181" s="28"/>
      <c r="F181" s="5"/>
      <c r="G181" s="5"/>
      <c r="H181" s="5"/>
    </row>
    <row r="182" spans="1:8" ht="12.75">
      <c r="A182" s="27"/>
      <c r="B182" s="5"/>
      <c r="C182" s="28"/>
      <c r="D182" s="28"/>
      <c r="E182" s="28"/>
      <c r="F182" s="5"/>
      <c r="G182" s="5"/>
      <c r="H182" s="5"/>
    </row>
    <row r="183" spans="1:8" ht="12.75">
      <c r="A183" s="27"/>
      <c r="B183" s="5"/>
      <c r="C183" s="28"/>
      <c r="D183" s="28"/>
      <c r="E183" s="28"/>
      <c r="F183" s="5"/>
      <c r="G183" s="5"/>
      <c r="H183" s="5"/>
    </row>
    <row r="184" spans="1:8" ht="12.75">
      <c r="A184" s="27"/>
      <c r="B184" s="5"/>
      <c r="C184" s="28"/>
      <c r="D184" s="28"/>
      <c r="E184" s="28"/>
      <c r="F184" s="5"/>
      <c r="G184" s="5"/>
      <c r="H184" s="5"/>
    </row>
    <row r="185" spans="1:8" ht="12.75">
      <c r="A185" s="27"/>
      <c r="B185" s="5"/>
      <c r="C185" s="28"/>
      <c r="D185" s="28"/>
      <c r="E185" s="28"/>
      <c r="F185" s="5"/>
      <c r="G185" s="5"/>
      <c r="H185" s="5"/>
    </row>
    <row r="186" spans="1:8" ht="12.75">
      <c r="A186" s="27"/>
      <c r="B186" s="5"/>
      <c r="C186" s="28"/>
      <c r="D186" s="28"/>
      <c r="E186" s="28"/>
      <c r="F186" s="5"/>
      <c r="G186" s="5"/>
      <c r="H186" s="5"/>
    </row>
    <row r="187" spans="1:8" ht="12.75">
      <c r="A187" s="27"/>
      <c r="B187" s="5"/>
      <c r="C187" s="28"/>
      <c r="D187" s="28"/>
      <c r="E187" s="28"/>
      <c r="F187" s="5"/>
      <c r="G187" s="5"/>
      <c r="H187" s="5"/>
    </row>
    <row r="188" spans="1:8" ht="12.75">
      <c r="A188" s="27"/>
      <c r="B188" s="5"/>
      <c r="C188" s="28"/>
      <c r="D188" s="28"/>
      <c r="E188" s="28"/>
      <c r="F188" s="5"/>
      <c r="G188" s="5"/>
      <c r="H188" s="5"/>
    </row>
    <row r="189" spans="1:8" ht="12.75">
      <c r="A189" s="27"/>
      <c r="B189" s="5"/>
      <c r="C189" s="28"/>
      <c r="D189" s="28"/>
      <c r="E189" s="28"/>
      <c r="F189" s="5"/>
      <c r="G189" s="5"/>
      <c r="H189" s="5"/>
    </row>
    <row r="190" spans="1:8" ht="12.75">
      <c r="A190" s="27"/>
      <c r="B190" s="5"/>
      <c r="C190" s="28"/>
      <c r="D190" s="28"/>
      <c r="E190" s="28"/>
      <c r="F190" s="5"/>
      <c r="G190" s="5"/>
      <c r="H190" s="5"/>
    </row>
    <row r="191" spans="1:8" ht="12.75">
      <c r="A191" s="27"/>
      <c r="B191" s="5"/>
      <c r="C191" s="28"/>
      <c r="D191" s="28"/>
      <c r="E191" s="28"/>
      <c r="F191" s="5"/>
      <c r="G191" s="5"/>
      <c r="H191" s="5"/>
    </row>
    <row r="192" spans="1:8" ht="12.75">
      <c r="A192" s="27"/>
      <c r="B192" s="5"/>
      <c r="C192" s="28"/>
      <c r="D192" s="28"/>
      <c r="E192" s="28"/>
      <c r="F192" s="5"/>
      <c r="G192" s="5"/>
      <c r="H192" s="5"/>
    </row>
    <row r="193" spans="1:8" ht="12.75">
      <c r="A193" s="27"/>
      <c r="B193" s="5"/>
      <c r="C193" s="28"/>
      <c r="D193" s="28"/>
      <c r="E193" s="28"/>
      <c r="F193" s="5"/>
      <c r="G193" s="5"/>
      <c r="H193" s="5"/>
    </row>
    <row r="194" spans="1:8" ht="12.75">
      <c r="A194" s="27"/>
      <c r="B194" s="5"/>
      <c r="C194" s="28"/>
      <c r="D194" s="28"/>
      <c r="E194" s="28"/>
      <c r="F194" s="5"/>
      <c r="G194" s="5"/>
      <c r="H194" s="5"/>
    </row>
    <row r="195" spans="1:8" ht="12.75">
      <c r="A195" s="27"/>
      <c r="B195" s="5"/>
      <c r="C195" s="28"/>
      <c r="D195" s="28"/>
      <c r="E195" s="28"/>
      <c r="F195" s="5"/>
      <c r="G195" s="5"/>
      <c r="H195" s="5"/>
    </row>
    <row r="196" spans="1:8" ht="12.75">
      <c r="A196" s="27"/>
      <c r="B196" s="5"/>
      <c r="C196" s="28"/>
      <c r="D196" s="28"/>
      <c r="E196" s="28"/>
      <c r="F196" s="5"/>
      <c r="G196" s="5"/>
      <c r="H196" s="5"/>
    </row>
    <row r="197" spans="1:8" ht="12.75">
      <c r="A197" s="27"/>
      <c r="B197" s="5"/>
      <c r="C197" s="28"/>
      <c r="D197" s="28"/>
      <c r="E197" s="28"/>
      <c r="F197" s="5"/>
      <c r="G197" s="5"/>
      <c r="H197" s="5"/>
    </row>
    <row r="198" spans="1:8" ht="12.75">
      <c r="A198" s="27"/>
      <c r="B198" s="5"/>
      <c r="C198" s="28"/>
      <c r="D198" s="28"/>
      <c r="E198" s="28"/>
      <c r="F198" s="5"/>
      <c r="G198" s="5"/>
      <c r="H198" s="5"/>
    </row>
    <row r="199" spans="1:8" ht="12.75">
      <c r="A199" s="27"/>
      <c r="B199" s="5"/>
      <c r="C199" s="28"/>
      <c r="D199" s="28"/>
      <c r="E199" s="28"/>
      <c r="F199" s="5"/>
      <c r="G199" s="5"/>
      <c r="H199" s="5"/>
    </row>
    <row r="200" spans="1:8" ht="12.75">
      <c r="A200" s="27"/>
      <c r="B200" s="5"/>
      <c r="C200" s="28"/>
      <c r="D200" s="28"/>
      <c r="E200" s="28"/>
      <c r="F200" s="5"/>
      <c r="G200" s="5"/>
      <c r="H200" s="5"/>
    </row>
    <row r="201" spans="1:8" ht="12.75">
      <c r="A201" s="27"/>
      <c r="B201" s="5"/>
      <c r="C201" s="28"/>
      <c r="D201" s="28"/>
      <c r="E201" s="28"/>
      <c r="F201" s="5"/>
      <c r="G201" s="5"/>
      <c r="H201" s="5"/>
    </row>
    <row r="202" spans="1:8" ht="12.75">
      <c r="A202" s="27"/>
      <c r="B202" s="5"/>
      <c r="C202" s="28"/>
      <c r="D202" s="28"/>
      <c r="E202" s="28"/>
      <c r="F202" s="5"/>
      <c r="G202" s="5"/>
      <c r="H202" s="5"/>
    </row>
    <row r="203" spans="1:8" ht="12.75">
      <c r="A203" s="27"/>
      <c r="B203" s="5"/>
      <c r="C203" s="28"/>
      <c r="D203" s="28"/>
      <c r="E203" s="28"/>
      <c r="F203" s="5"/>
      <c r="G203" s="5"/>
      <c r="H203" s="5"/>
    </row>
    <row r="204" spans="1:8" ht="12.75">
      <c r="A204" s="27"/>
      <c r="B204" s="5"/>
      <c r="C204" s="28"/>
      <c r="D204" s="28"/>
      <c r="E204" s="28"/>
      <c r="F204" s="5"/>
      <c r="G204" s="5"/>
      <c r="H204" s="5"/>
    </row>
    <row r="205" spans="1:8" ht="12.75">
      <c r="A205" s="27"/>
      <c r="B205" s="5"/>
      <c r="C205" s="28"/>
      <c r="D205" s="28"/>
      <c r="E205" s="28"/>
      <c r="F205" s="5"/>
      <c r="G205" s="5"/>
      <c r="H205" s="5"/>
    </row>
    <row r="206" spans="1:8" ht="12.75">
      <c r="A206" s="27"/>
      <c r="B206" s="5"/>
      <c r="C206" s="28"/>
      <c r="D206" s="28"/>
      <c r="E206" s="28"/>
      <c r="F206" s="5"/>
      <c r="G206" s="5"/>
      <c r="H206" s="5"/>
    </row>
    <row r="207" spans="1:8" ht="12.75">
      <c r="A207" s="27"/>
      <c r="B207" s="5"/>
      <c r="C207" s="28"/>
      <c r="D207" s="28"/>
      <c r="E207" s="28"/>
      <c r="F207" s="5"/>
      <c r="G207" s="5"/>
      <c r="H207" s="5"/>
    </row>
    <row r="208" spans="1:8" ht="12.75">
      <c r="A208" s="27"/>
      <c r="B208" s="5"/>
      <c r="C208" s="28"/>
      <c r="D208" s="28"/>
      <c r="E208" s="28"/>
      <c r="F208" s="5"/>
      <c r="G208" s="5"/>
      <c r="H208" s="5"/>
    </row>
    <row r="209" spans="1:8" ht="12.75">
      <c r="A209" s="27"/>
      <c r="B209" s="5"/>
      <c r="C209" s="28"/>
      <c r="D209" s="28"/>
      <c r="E209" s="28"/>
      <c r="F209" s="5"/>
      <c r="G209" s="5"/>
      <c r="H209" s="5"/>
    </row>
    <row r="210" spans="1:8" ht="12.75">
      <c r="A210" s="27"/>
      <c r="B210" s="5"/>
      <c r="C210" s="28"/>
      <c r="D210" s="28"/>
      <c r="E210" s="28"/>
      <c r="F210" s="5"/>
      <c r="G210" s="5"/>
      <c r="H210" s="5"/>
    </row>
    <row r="211" spans="1:8" ht="12.75">
      <c r="A211" s="27"/>
      <c r="B211" s="5"/>
      <c r="C211" s="28"/>
      <c r="D211" s="28"/>
      <c r="E211" s="28"/>
      <c r="F211" s="5"/>
      <c r="G211" s="5"/>
      <c r="H211" s="5"/>
    </row>
    <row r="212" spans="1:8" ht="12.75">
      <c r="A212" s="27"/>
      <c r="B212" s="5"/>
      <c r="C212" s="28"/>
      <c r="D212" s="28"/>
      <c r="E212" s="28"/>
      <c r="F212" s="5"/>
      <c r="G212" s="5"/>
      <c r="H212" s="5"/>
    </row>
    <row r="213" spans="1:8" ht="12.75">
      <c r="A213" s="27"/>
      <c r="B213" s="5"/>
      <c r="C213" s="28"/>
      <c r="D213" s="28"/>
      <c r="E213" s="28"/>
      <c r="F213" s="5"/>
      <c r="G213" s="5"/>
      <c r="H213" s="5"/>
    </row>
    <row r="214" spans="1:8" ht="12.75">
      <c r="A214" s="27"/>
      <c r="B214" s="5"/>
      <c r="C214" s="28"/>
      <c r="D214" s="28"/>
      <c r="E214" s="28"/>
      <c r="F214" s="5"/>
      <c r="G214" s="5"/>
      <c r="H214" s="5"/>
    </row>
    <row r="215" spans="1:8" ht="12.75">
      <c r="A215" s="27"/>
      <c r="B215" s="5"/>
      <c r="C215" s="28"/>
      <c r="D215" s="28"/>
      <c r="E215" s="28"/>
      <c r="F215" s="5"/>
      <c r="G215" s="5"/>
      <c r="H215" s="5"/>
    </row>
    <row r="216" spans="1:8" ht="12.75">
      <c r="A216" s="27"/>
      <c r="B216" s="5"/>
      <c r="C216" s="28"/>
      <c r="D216" s="28"/>
      <c r="E216" s="28"/>
      <c r="F216" s="5"/>
      <c r="G216" s="5"/>
      <c r="H216" s="5"/>
    </row>
    <row r="217" spans="1:8" ht="12.75">
      <c r="A217" s="27"/>
      <c r="B217" s="5"/>
      <c r="C217" s="28"/>
      <c r="D217" s="28"/>
      <c r="E217" s="28"/>
      <c r="F217" s="5"/>
      <c r="G217" s="5"/>
      <c r="H217" s="5"/>
    </row>
    <row r="218" spans="1:8" ht="12.75">
      <c r="A218" s="27"/>
      <c r="B218" s="5"/>
      <c r="C218" s="28"/>
      <c r="D218" s="28"/>
      <c r="E218" s="28"/>
      <c r="F218" s="5"/>
      <c r="G218" s="5"/>
      <c r="H218" s="5"/>
    </row>
    <row r="219" spans="1:8" ht="12.75">
      <c r="A219" s="27"/>
      <c r="B219" s="5"/>
      <c r="C219" s="28"/>
      <c r="D219" s="28"/>
      <c r="E219" s="28"/>
      <c r="F219" s="5"/>
      <c r="G219" s="5"/>
      <c r="H219" s="5"/>
    </row>
    <row r="220" spans="1:8" ht="12.75">
      <c r="A220" s="27"/>
      <c r="B220" s="5"/>
      <c r="C220" s="28"/>
      <c r="D220" s="28"/>
      <c r="E220" s="28"/>
      <c r="F220" s="5"/>
      <c r="G220" s="5"/>
      <c r="H220" s="5"/>
    </row>
    <row r="221" spans="1:8" ht="12.75">
      <c r="A221" s="27"/>
      <c r="B221" s="5"/>
      <c r="C221" s="28"/>
      <c r="D221" s="28"/>
      <c r="E221" s="28"/>
      <c r="F221" s="5"/>
      <c r="G221" s="5"/>
      <c r="H221" s="5"/>
    </row>
    <row r="222" spans="1:8" ht="12.75">
      <c r="A222" s="27"/>
      <c r="B222" s="5"/>
      <c r="C222" s="28"/>
      <c r="D222" s="28"/>
      <c r="E222" s="28"/>
      <c r="F222" s="5"/>
      <c r="G222" s="5"/>
      <c r="H222" s="5"/>
    </row>
    <row r="223" spans="1:8" ht="12.75">
      <c r="A223" s="27"/>
      <c r="B223" s="5"/>
      <c r="C223" s="28"/>
      <c r="D223" s="28"/>
      <c r="E223" s="28"/>
      <c r="F223" s="5"/>
      <c r="G223" s="5"/>
      <c r="H223" s="5"/>
    </row>
    <row r="224" spans="1:8" ht="12.75">
      <c r="A224" s="27"/>
      <c r="B224" s="5"/>
      <c r="C224" s="28"/>
      <c r="D224" s="28"/>
      <c r="E224" s="28"/>
      <c r="F224" s="5"/>
      <c r="G224" s="5"/>
      <c r="H224" s="5"/>
    </row>
    <row r="225" spans="1:8" ht="12.75">
      <c r="A225" s="27"/>
      <c r="B225" s="5"/>
      <c r="C225" s="28"/>
      <c r="D225" s="28"/>
      <c r="E225" s="28"/>
      <c r="F225" s="5"/>
      <c r="G225" s="5"/>
      <c r="H225" s="5"/>
    </row>
    <row r="226" spans="1:8" ht="12.75">
      <c r="A226" s="27"/>
      <c r="B226" s="5"/>
      <c r="C226" s="28"/>
      <c r="D226" s="28"/>
      <c r="E226" s="28"/>
      <c r="F226" s="5"/>
      <c r="G226" s="5"/>
      <c r="H226" s="5"/>
    </row>
    <row r="227" spans="1:8" ht="12.75">
      <c r="A227" s="27"/>
      <c r="B227" s="5"/>
      <c r="C227" s="28"/>
      <c r="D227" s="28"/>
      <c r="E227" s="28"/>
      <c r="F227" s="5"/>
      <c r="G227" s="5"/>
      <c r="H227" s="5"/>
    </row>
    <row r="228" spans="1:8" ht="12.75">
      <c r="A228" s="27"/>
      <c r="B228" s="5"/>
      <c r="C228" s="28"/>
      <c r="D228" s="28"/>
      <c r="E228" s="28"/>
      <c r="F228" s="5"/>
      <c r="G228" s="5"/>
      <c r="H228" s="5"/>
    </row>
    <row r="229" spans="1:8" ht="12.75">
      <c r="A229" s="27"/>
      <c r="B229" s="5"/>
      <c r="C229" s="28"/>
      <c r="D229" s="28"/>
      <c r="E229" s="28"/>
      <c r="F229" s="5"/>
      <c r="G229" s="5"/>
      <c r="H229" s="5"/>
    </row>
    <row r="230" spans="1:8" ht="12.75">
      <c r="A230" s="27"/>
      <c r="B230" s="5"/>
      <c r="C230" s="28"/>
      <c r="D230" s="28"/>
      <c r="E230" s="28"/>
      <c r="F230" s="5"/>
      <c r="G230" s="5"/>
      <c r="H230" s="5"/>
    </row>
    <row r="231" spans="1:8" ht="12.75">
      <c r="A231" s="27"/>
      <c r="B231" s="5"/>
      <c r="C231" s="28"/>
      <c r="D231" s="28"/>
      <c r="E231" s="28"/>
      <c r="F231" s="5"/>
      <c r="G231" s="5"/>
      <c r="H231" s="5"/>
    </row>
    <row r="232" spans="1:8" ht="12.75">
      <c r="A232" s="27"/>
      <c r="B232" s="5"/>
      <c r="C232" s="28"/>
      <c r="D232" s="28"/>
      <c r="E232" s="28"/>
      <c r="F232" s="5"/>
      <c r="G232" s="5"/>
      <c r="H232" s="5"/>
    </row>
    <row r="233" spans="1:8" ht="12.75">
      <c r="A233" s="27"/>
      <c r="B233" s="5"/>
      <c r="C233" s="28"/>
      <c r="D233" s="28"/>
      <c r="E233" s="28"/>
      <c r="F233" s="5"/>
      <c r="G233" s="5"/>
      <c r="H233" s="5"/>
    </row>
    <row r="234" spans="1:8" ht="12.75">
      <c r="A234" s="27"/>
      <c r="B234" s="5"/>
      <c r="C234" s="28"/>
      <c r="D234" s="28"/>
      <c r="E234" s="28"/>
      <c r="F234" s="5"/>
      <c r="G234" s="5"/>
      <c r="H234" s="5"/>
    </row>
    <row r="235" spans="1:8" ht="12.75">
      <c r="A235" s="27"/>
      <c r="B235" s="5"/>
      <c r="C235" s="28"/>
      <c r="D235" s="28"/>
      <c r="E235" s="28"/>
      <c r="F235" s="5"/>
      <c r="G235" s="5"/>
      <c r="H235" s="5"/>
    </row>
    <row r="236" spans="1:8" ht="12.75">
      <c r="A236" s="27"/>
      <c r="B236" s="5"/>
      <c r="C236" s="28"/>
      <c r="D236" s="28"/>
      <c r="E236" s="28"/>
      <c r="F236" s="5"/>
      <c r="G236" s="5"/>
      <c r="H236" s="5"/>
    </row>
    <row r="237" spans="1:8" ht="12.75">
      <c r="A237" s="27"/>
      <c r="B237" s="5"/>
      <c r="C237" s="28"/>
      <c r="D237" s="28"/>
      <c r="E237" s="28"/>
      <c r="F237" s="5"/>
      <c r="G237" s="5"/>
      <c r="H237" s="5"/>
    </row>
    <row r="238" spans="1:8" ht="12.75">
      <c r="A238" s="27"/>
      <c r="B238" s="5"/>
      <c r="C238" s="28"/>
      <c r="D238" s="28"/>
      <c r="E238" s="28"/>
      <c r="F238" s="5"/>
      <c r="G238" s="5"/>
      <c r="H238" s="5"/>
    </row>
    <row r="239" spans="1:8" ht="12.75">
      <c r="A239" s="27"/>
      <c r="B239" s="5"/>
      <c r="C239" s="28"/>
      <c r="D239" s="28"/>
      <c r="E239" s="28"/>
      <c r="F239" s="5"/>
      <c r="G239" s="5"/>
      <c r="H239" s="5"/>
    </row>
    <row r="240" spans="1:8" ht="12.75">
      <c r="A240" s="27"/>
      <c r="B240" s="5"/>
      <c r="C240" s="28"/>
      <c r="D240" s="28"/>
      <c r="E240" s="28"/>
      <c r="F240" s="5"/>
      <c r="G240" s="5"/>
      <c r="H240" s="5"/>
    </row>
    <row r="241" spans="1:8" ht="12.75">
      <c r="A241" s="27"/>
      <c r="B241" s="5"/>
      <c r="C241" s="28"/>
      <c r="D241" s="28"/>
      <c r="E241" s="28"/>
      <c r="F241" s="5"/>
      <c r="G241" s="5"/>
      <c r="H241" s="5"/>
    </row>
    <row r="242" spans="1:8" ht="12.75">
      <c r="A242" s="27"/>
      <c r="B242" s="5"/>
      <c r="C242" s="28"/>
      <c r="D242" s="28"/>
      <c r="E242" s="28"/>
      <c r="F242" s="5"/>
      <c r="G242" s="5"/>
      <c r="H242" s="5"/>
    </row>
    <row r="243" spans="1:8" ht="12.75">
      <c r="A243" s="27"/>
      <c r="B243" s="5"/>
      <c r="C243" s="28"/>
      <c r="D243" s="28"/>
      <c r="E243" s="28"/>
      <c r="F243" s="5"/>
      <c r="G243" s="5"/>
      <c r="H243" s="5"/>
    </row>
    <row r="244" spans="1:8" ht="12.75">
      <c r="A244" s="27"/>
      <c r="B244" s="5"/>
      <c r="C244" s="28"/>
      <c r="D244" s="28"/>
      <c r="E244" s="28"/>
      <c r="F244" s="5"/>
      <c r="G244" s="5"/>
      <c r="H244" s="5"/>
    </row>
    <row r="245" spans="1:8" ht="12.75">
      <c r="A245" s="27"/>
      <c r="B245" s="5"/>
      <c r="C245" s="28"/>
      <c r="D245" s="28"/>
      <c r="E245" s="28"/>
      <c r="F245" s="5"/>
      <c r="G245" s="5"/>
      <c r="H245" s="5"/>
    </row>
    <row r="246" spans="1:8" ht="12.75">
      <c r="A246" s="27"/>
      <c r="B246" s="5"/>
      <c r="C246" s="28"/>
      <c r="D246" s="28"/>
      <c r="E246" s="28"/>
      <c r="F246" s="5"/>
      <c r="G246" s="5"/>
      <c r="H246" s="5"/>
    </row>
    <row r="247" spans="1:8" ht="12.75">
      <c r="A247" s="27"/>
      <c r="B247" s="5"/>
      <c r="C247" s="28"/>
      <c r="D247" s="28"/>
      <c r="E247" s="28"/>
      <c r="F247" s="5"/>
      <c r="G247" s="5"/>
      <c r="H247" s="5"/>
    </row>
    <row r="248" spans="1:8" ht="12.75">
      <c r="A248" s="27"/>
      <c r="B248" s="5"/>
      <c r="C248" s="28"/>
      <c r="D248" s="28"/>
      <c r="E248" s="28"/>
      <c r="F248" s="5"/>
      <c r="G248" s="5"/>
      <c r="H248" s="5"/>
    </row>
    <row r="249" spans="1:8" ht="12.75">
      <c r="A249" s="27"/>
      <c r="B249" s="5"/>
      <c r="C249" s="28"/>
      <c r="D249" s="28"/>
      <c r="E249" s="28"/>
      <c r="F249" s="5"/>
      <c r="G249" s="5"/>
      <c r="H249" s="5"/>
    </row>
    <row r="250" spans="1:8" ht="12.75">
      <c r="A250" s="27"/>
      <c r="B250" s="5"/>
      <c r="C250" s="28"/>
      <c r="D250" s="28"/>
      <c r="E250" s="28"/>
      <c r="F250" s="5"/>
      <c r="G250" s="5"/>
      <c r="H250" s="5"/>
    </row>
    <row r="251" spans="1:8" ht="12.75">
      <c r="A251" s="27"/>
      <c r="B251" s="5"/>
      <c r="C251" s="28"/>
      <c r="D251" s="28"/>
      <c r="E251" s="28"/>
      <c r="F251" s="5"/>
      <c r="G251" s="5"/>
      <c r="H251" s="5"/>
    </row>
    <row r="252" spans="1:8" ht="12.75">
      <c r="A252" s="27"/>
      <c r="B252" s="5"/>
      <c r="C252" s="28"/>
      <c r="D252" s="28"/>
      <c r="E252" s="28"/>
      <c r="F252" s="5"/>
      <c r="G252" s="5"/>
      <c r="H252" s="5"/>
    </row>
    <row r="253" spans="1:8" ht="12.75">
      <c r="A253" s="27"/>
      <c r="B253" s="5"/>
      <c r="C253" s="28"/>
      <c r="D253" s="28"/>
      <c r="E253" s="28"/>
      <c r="F253" s="5"/>
      <c r="G253" s="5"/>
      <c r="H253" s="5"/>
    </row>
    <row r="254" spans="1:8" ht="12.75">
      <c r="A254" s="27"/>
      <c r="B254" s="5"/>
      <c r="C254" s="28"/>
      <c r="D254" s="28"/>
      <c r="E254" s="28"/>
      <c r="F254" s="5"/>
      <c r="G254" s="5"/>
      <c r="H254" s="5"/>
    </row>
    <row r="255" spans="1:8" ht="12.75">
      <c r="A255" s="27"/>
      <c r="B255" s="5"/>
      <c r="C255" s="28"/>
      <c r="D255" s="28"/>
      <c r="E255" s="28"/>
      <c r="F255" s="5"/>
      <c r="G255" s="5"/>
      <c r="H255" s="5"/>
    </row>
    <row r="256" spans="1:8" ht="12.75">
      <c r="A256" s="27"/>
      <c r="B256" s="5"/>
      <c r="C256" s="28"/>
      <c r="D256" s="28"/>
      <c r="E256" s="28"/>
      <c r="F256" s="5"/>
      <c r="G256" s="5"/>
      <c r="H256" s="5"/>
    </row>
    <row r="257" spans="1:8" ht="12.75">
      <c r="A257" s="27"/>
      <c r="B257" s="5"/>
      <c r="C257" s="28"/>
      <c r="D257" s="28"/>
      <c r="E257" s="28"/>
      <c r="F257" s="5"/>
      <c r="G257" s="5"/>
      <c r="H257" s="5"/>
    </row>
    <row r="258" spans="1:8" ht="12.75">
      <c r="A258" s="27"/>
      <c r="B258" s="5"/>
      <c r="C258" s="28"/>
      <c r="D258" s="28"/>
      <c r="E258" s="28"/>
      <c r="F258" s="5"/>
      <c r="G258" s="5"/>
      <c r="H258" s="5"/>
    </row>
    <row r="259" spans="1:8" ht="12.75">
      <c r="A259" s="27"/>
      <c r="B259" s="5"/>
      <c r="C259" s="28"/>
      <c r="D259" s="28"/>
      <c r="E259" s="28"/>
      <c r="F259" s="5"/>
      <c r="G259" s="5"/>
      <c r="H259" s="5"/>
    </row>
    <row r="260" spans="1:8" ht="12.75">
      <c r="A260" s="27"/>
      <c r="B260" s="5"/>
      <c r="C260" s="28"/>
      <c r="D260" s="28"/>
      <c r="E260" s="28"/>
      <c r="F260" s="5"/>
      <c r="G260" s="5"/>
      <c r="H260" s="5"/>
    </row>
    <row r="261" spans="1:8" ht="12.75">
      <c r="A261" s="27"/>
      <c r="B261" s="5"/>
      <c r="C261" s="28"/>
      <c r="D261" s="28"/>
      <c r="E261" s="28"/>
      <c r="F261" s="5"/>
      <c r="G261" s="5"/>
      <c r="H261" s="5"/>
    </row>
    <row r="262" spans="1:8" ht="12.75">
      <c r="A262" s="27"/>
      <c r="B262" s="5"/>
      <c r="C262" s="28"/>
      <c r="D262" s="28"/>
      <c r="E262" s="28"/>
      <c r="F262" s="5"/>
      <c r="G262" s="5"/>
      <c r="H262" s="5"/>
    </row>
    <row r="263" spans="1:8" ht="12.75">
      <c r="A263" s="27"/>
      <c r="B263" s="5"/>
      <c r="C263" s="28"/>
      <c r="D263" s="28"/>
      <c r="E263" s="28"/>
      <c r="F263" s="5"/>
      <c r="G263" s="5"/>
      <c r="H263" s="5"/>
    </row>
    <row r="264" spans="1:8" ht="12.75">
      <c r="A264" s="27"/>
      <c r="B264" s="5"/>
      <c r="C264" s="28"/>
      <c r="D264" s="28"/>
      <c r="E264" s="28"/>
      <c r="F264" s="5"/>
      <c r="G264" s="5"/>
      <c r="H264" s="5"/>
    </row>
    <row r="265" spans="1:8" ht="12.75">
      <c r="A265" s="27"/>
      <c r="B265" s="5"/>
      <c r="C265" s="28"/>
      <c r="D265" s="28"/>
      <c r="E265" s="28"/>
      <c r="F265" s="5"/>
      <c r="G265" s="5"/>
      <c r="H265" s="5"/>
    </row>
    <row r="266" spans="1:8" ht="12.75">
      <c r="A266" s="27"/>
      <c r="B266" s="5"/>
      <c r="C266" s="28"/>
      <c r="D266" s="28"/>
      <c r="E266" s="28"/>
      <c r="F266" s="5"/>
      <c r="G266" s="5"/>
      <c r="H266" s="5"/>
    </row>
    <row r="267" spans="1:8" ht="12.75">
      <c r="A267" s="27"/>
      <c r="B267" s="5"/>
      <c r="C267" s="28"/>
      <c r="D267" s="28"/>
      <c r="E267" s="28"/>
      <c r="F267" s="5"/>
      <c r="G267" s="5"/>
      <c r="H267" s="5"/>
    </row>
    <row r="268" spans="1:8" ht="12.75">
      <c r="A268" s="27"/>
      <c r="B268" s="5"/>
      <c r="C268" s="28"/>
      <c r="D268" s="28"/>
      <c r="E268" s="28"/>
      <c r="F268" s="5"/>
      <c r="G268" s="5"/>
      <c r="H268" s="5"/>
    </row>
    <row r="269" spans="1:8" ht="12.75">
      <c r="A269" s="27"/>
      <c r="B269" s="5"/>
      <c r="C269" s="28"/>
      <c r="D269" s="28"/>
      <c r="E269" s="28"/>
      <c r="F269" s="5"/>
      <c r="G269" s="5"/>
      <c r="H269" s="5"/>
    </row>
    <row r="270" spans="1:8" ht="12.75">
      <c r="A270" s="27"/>
      <c r="B270" s="5"/>
      <c r="C270" s="28"/>
      <c r="D270" s="28"/>
      <c r="E270" s="28"/>
      <c r="F270" s="5"/>
      <c r="G270" s="5"/>
      <c r="H270" s="5"/>
    </row>
    <row r="271" spans="1:8" ht="12.75">
      <c r="A271" s="27"/>
      <c r="B271" s="5"/>
      <c r="C271" s="28"/>
      <c r="D271" s="28"/>
      <c r="E271" s="28"/>
      <c r="F271" s="5"/>
      <c r="G271" s="5"/>
      <c r="H271" s="5"/>
    </row>
    <row r="272" spans="1:8" ht="12.75">
      <c r="A272" s="27"/>
      <c r="B272" s="5"/>
      <c r="C272" s="28"/>
      <c r="D272" s="28"/>
      <c r="E272" s="28"/>
      <c r="F272" s="5"/>
      <c r="G272" s="5"/>
      <c r="H272" s="5"/>
    </row>
    <row r="273" spans="1:8" ht="12.75">
      <c r="A273" s="27"/>
      <c r="B273" s="5"/>
      <c r="C273" s="28"/>
      <c r="D273" s="28"/>
      <c r="E273" s="28"/>
      <c r="F273" s="5"/>
      <c r="G273" s="5"/>
      <c r="H273" s="5"/>
    </row>
  </sheetData>
  <mergeCells count="1">
    <mergeCell ref="B27:H27"/>
  </mergeCells>
  <printOptions/>
  <pageMargins left="0.75" right="0.75" top="0.9" bottom="0.82" header="0.5" footer="0.5"/>
  <pageSetup horizontalDpi="300" verticalDpi="300" orientation="landscape" paperSize="9" r:id="rId2"/>
  <headerFooter alignWithMargins="0">
    <oddHeader>&amp;LDate : &amp;D&amp;RFilename : g:\rivops\state\allocatn\&amp;F</oddHeader>
    <oddFooter>&amp;CPage &amp;P</oddFooter>
  </headerFooter>
  <drawing r:id="rId1"/>
</worksheet>
</file>

<file path=xl/worksheets/sheet16.xml><?xml version="1.0" encoding="utf-8"?>
<worksheet xmlns="http://schemas.openxmlformats.org/spreadsheetml/2006/main" xmlns:r="http://schemas.openxmlformats.org/officeDocument/2006/relationships">
  <dimension ref="A1:IV136"/>
  <sheetViews>
    <sheetView showGridLines="0" workbookViewId="0" topLeftCell="A1">
      <pane xSplit="1" ySplit="6" topLeftCell="B7" activePane="bottomRight" state="frozen"/>
      <selection pane="topLeft" activeCell="A1" sqref="A1"/>
      <selection pane="topRight" activeCell="B1" sqref="B1"/>
      <selection pane="bottomLeft" activeCell="A7" sqref="A7"/>
      <selection pane="bottomRight" activeCell="I7" sqref="I7"/>
    </sheetView>
  </sheetViews>
  <sheetFormatPr defaultColWidth="9.140625" defaultRowHeight="12.75"/>
  <cols>
    <col min="1" max="1" width="10.28125" style="14" customWidth="1"/>
    <col min="2" max="2" width="10.140625" style="17" customWidth="1"/>
    <col min="3" max="3" width="10.00390625" style="24" customWidth="1"/>
    <col min="4" max="4" width="11.00390625" style="24" customWidth="1"/>
    <col min="5" max="5" width="11.421875" style="24" customWidth="1"/>
    <col min="6" max="6" width="11.57421875" style="17" customWidth="1"/>
    <col min="7" max="7" width="12.8515625" style="322" customWidth="1"/>
    <col min="8" max="8" width="54.140625" style="0" customWidth="1"/>
  </cols>
  <sheetData>
    <row r="1" spans="1:8" ht="24" customHeight="1" thickBot="1">
      <c r="A1" s="36" t="s">
        <v>224</v>
      </c>
      <c r="B1" s="2"/>
      <c r="C1" s="22"/>
      <c r="D1" s="22"/>
      <c r="E1" s="22"/>
      <c r="F1" s="2"/>
      <c r="G1" s="317"/>
      <c r="H1" s="3"/>
    </row>
    <row r="2" spans="1:8" ht="15.75" customHeight="1" thickBot="1">
      <c r="A2" s="29" t="s">
        <v>80</v>
      </c>
      <c r="B2" s="33"/>
      <c r="C2" s="34"/>
      <c r="D2" s="34"/>
      <c r="E2" s="34"/>
      <c r="F2" s="33"/>
      <c r="G2" s="318"/>
      <c r="H2" s="38" t="s">
        <v>81</v>
      </c>
    </row>
    <row r="3" spans="1:8" ht="54" customHeight="1" thickBot="1">
      <c r="A3" s="6"/>
      <c r="B3" s="2"/>
      <c r="C3" s="22"/>
      <c r="D3" s="22"/>
      <c r="E3" s="22"/>
      <c r="F3" s="2"/>
      <c r="G3" s="317"/>
      <c r="H3" s="3"/>
    </row>
    <row r="4" spans="1:8" ht="15.75" customHeight="1" thickBot="1">
      <c r="A4" s="29" t="s">
        <v>225</v>
      </c>
      <c r="B4" s="33"/>
      <c r="C4" s="34"/>
      <c r="D4" s="34"/>
      <c r="E4" s="34"/>
      <c r="F4" s="33"/>
      <c r="G4" s="318"/>
      <c r="H4" s="38"/>
    </row>
    <row r="5" spans="1:8" s="5" customFormat="1" ht="12.75" customHeight="1">
      <c r="A5" s="39"/>
      <c r="B5" s="40" t="s">
        <v>83</v>
      </c>
      <c r="C5" s="41" t="s">
        <v>84</v>
      </c>
      <c r="D5" s="41" t="s">
        <v>85</v>
      </c>
      <c r="E5" s="333" t="s">
        <v>213</v>
      </c>
      <c r="F5" s="334"/>
      <c r="G5" s="42" t="s">
        <v>86</v>
      </c>
      <c r="H5" s="43"/>
    </row>
    <row r="6" spans="1:8" s="5" customFormat="1" ht="26.25" customHeight="1" thickBot="1">
      <c r="A6" s="44" t="s">
        <v>87</v>
      </c>
      <c r="B6" s="45" t="s">
        <v>86</v>
      </c>
      <c r="C6" s="46" t="s">
        <v>86</v>
      </c>
      <c r="D6" s="46" t="s">
        <v>88</v>
      </c>
      <c r="E6" s="46" t="s">
        <v>214</v>
      </c>
      <c r="F6" s="50" t="s">
        <v>215</v>
      </c>
      <c r="G6" s="47" t="s">
        <v>89</v>
      </c>
      <c r="H6" s="48" t="s">
        <v>90</v>
      </c>
    </row>
    <row r="7" spans="1:8" ht="15.75" customHeight="1">
      <c r="A7" s="56" t="s">
        <v>180</v>
      </c>
      <c r="B7" s="57">
        <v>28349</v>
      </c>
      <c r="C7" s="58">
        <v>100</v>
      </c>
      <c r="D7" s="58">
        <v>0</v>
      </c>
      <c r="E7" s="58"/>
      <c r="F7" s="59"/>
      <c r="G7" s="319" t="s">
        <v>92</v>
      </c>
      <c r="H7" s="61"/>
    </row>
    <row r="8" spans="1:8" ht="15.75" customHeight="1">
      <c r="A8" s="62"/>
      <c r="B8" s="63">
        <v>28516</v>
      </c>
      <c r="C8" s="64">
        <v>105</v>
      </c>
      <c r="D8" s="64">
        <v>0</v>
      </c>
      <c r="E8" s="329" t="s">
        <v>233</v>
      </c>
      <c r="F8" s="330"/>
      <c r="G8" s="320" t="s">
        <v>92</v>
      </c>
      <c r="H8" s="67"/>
    </row>
    <row r="9" spans="1:8" ht="15.75" customHeight="1">
      <c r="A9" s="62"/>
      <c r="B9" s="63">
        <v>28529</v>
      </c>
      <c r="C9" s="64">
        <v>115</v>
      </c>
      <c r="D9" s="64">
        <v>0</v>
      </c>
      <c r="E9" s="64"/>
      <c r="F9" s="65"/>
      <c r="G9" s="320" t="s">
        <v>92</v>
      </c>
      <c r="H9" s="67"/>
    </row>
    <row r="10" spans="1:8" ht="15.75" customHeight="1" thickBot="1">
      <c r="A10" s="68"/>
      <c r="B10" s="69">
        <v>28594</v>
      </c>
      <c r="C10" s="70">
        <v>125</v>
      </c>
      <c r="D10" s="70">
        <v>0</v>
      </c>
      <c r="E10" s="70"/>
      <c r="F10" s="71"/>
      <c r="G10" s="321" t="s">
        <v>92</v>
      </c>
      <c r="H10" s="73"/>
    </row>
    <row r="11" spans="1:8" ht="15.75" customHeight="1">
      <c r="A11" s="56" t="s">
        <v>181</v>
      </c>
      <c r="B11" s="57">
        <v>28727</v>
      </c>
      <c r="C11" s="58">
        <v>100</v>
      </c>
      <c r="D11" s="58">
        <v>0</v>
      </c>
      <c r="E11" s="58"/>
      <c r="F11" s="59"/>
      <c r="G11" s="319" t="s">
        <v>92</v>
      </c>
      <c r="H11" s="61"/>
    </row>
    <row r="12" spans="1:8" ht="15.75" customHeight="1">
      <c r="A12" s="62"/>
      <c r="B12" s="63">
        <v>28774</v>
      </c>
      <c r="C12" s="64">
        <v>120</v>
      </c>
      <c r="D12" s="64">
        <v>0</v>
      </c>
      <c r="E12" s="329" t="s">
        <v>233</v>
      </c>
      <c r="F12" s="330"/>
      <c r="G12" s="320" t="s">
        <v>92</v>
      </c>
      <c r="H12" s="67"/>
    </row>
    <row r="13" spans="1:8" ht="15.75" customHeight="1">
      <c r="A13" s="62"/>
      <c r="B13" s="63">
        <v>28837</v>
      </c>
      <c r="C13" s="64">
        <v>140</v>
      </c>
      <c r="D13" s="64">
        <v>0</v>
      </c>
      <c r="E13" s="64"/>
      <c r="F13" s="65"/>
      <c r="G13" s="320" t="s">
        <v>92</v>
      </c>
      <c r="H13" s="67"/>
    </row>
    <row r="14" spans="1:8" ht="15.75" customHeight="1" thickBot="1">
      <c r="A14" s="68"/>
      <c r="B14" s="69">
        <v>28906</v>
      </c>
      <c r="C14" s="70">
        <v>160</v>
      </c>
      <c r="D14" s="70">
        <v>0</v>
      </c>
      <c r="E14" s="70"/>
      <c r="F14" s="71"/>
      <c r="G14" s="321" t="s">
        <v>92</v>
      </c>
      <c r="H14" s="73"/>
    </row>
    <row r="15" spans="1:8" ht="15.75" customHeight="1">
      <c r="A15" s="56" t="s">
        <v>182</v>
      </c>
      <c r="B15" s="57">
        <v>29082</v>
      </c>
      <c r="C15" s="58">
        <v>100</v>
      </c>
      <c r="D15" s="58">
        <v>0</v>
      </c>
      <c r="E15" s="58"/>
      <c r="F15" s="59"/>
      <c r="G15" s="319" t="s">
        <v>92</v>
      </c>
      <c r="H15" s="61"/>
    </row>
    <row r="16" spans="1:8" ht="15.75" customHeight="1">
      <c r="A16" s="62"/>
      <c r="B16" s="63">
        <v>29119</v>
      </c>
      <c r="C16" s="64">
        <v>120</v>
      </c>
      <c r="D16" s="64">
        <v>0</v>
      </c>
      <c r="E16" s="329" t="s">
        <v>233</v>
      </c>
      <c r="F16" s="330"/>
      <c r="G16" s="320" t="s">
        <v>92</v>
      </c>
      <c r="H16" s="67"/>
    </row>
    <row r="17" spans="1:8" ht="15.75" customHeight="1" thickBot="1">
      <c r="A17" s="68"/>
      <c r="B17" s="69">
        <v>29175</v>
      </c>
      <c r="C17" s="70">
        <v>130</v>
      </c>
      <c r="D17" s="70">
        <v>0</v>
      </c>
      <c r="E17" s="70"/>
      <c r="F17" s="71"/>
      <c r="G17" s="321" t="s">
        <v>92</v>
      </c>
      <c r="H17" s="73" t="s">
        <v>226</v>
      </c>
    </row>
    <row r="18" spans="1:8" ht="15.75" customHeight="1">
      <c r="A18" s="62" t="s">
        <v>141</v>
      </c>
      <c r="B18" s="63">
        <v>29462</v>
      </c>
      <c r="C18" s="64">
        <v>85</v>
      </c>
      <c r="D18" s="64">
        <v>0</v>
      </c>
      <c r="E18" s="64"/>
      <c r="F18" s="65"/>
      <c r="G18" s="320" t="s">
        <v>92</v>
      </c>
      <c r="H18" s="67"/>
    </row>
    <row r="19" spans="1:8" ht="15.75" customHeight="1">
      <c r="A19" s="62"/>
      <c r="B19" s="63">
        <v>29496</v>
      </c>
      <c r="C19" s="64">
        <v>95</v>
      </c>
      <c r="D19" s="64">
        <v>0</v>
      </c>
      <c r="E19" s="64"/>
      <c r="F19" s="65"/>
      <c r="G19" s="320" t="s">
        <v>92</v>
      </c>
      <c r="H19" s="67"/>
    </row>
    <row r="20" spans="1:8" ht="15.75" customHeight="1">
      <c r="A20" s="62"/>
      <c r="B20" s="63">
        <v>29530</v>
      </c>
      <c r="C20" s="64">
        <v>100</v>
      </c>
      <c r="D20" s="64">
        <v>0</v>
      </c>
      <c r="E20" s="329" t="s">
        <v>233</v>
      </c>
      <c r="F20" s="330"/>
      <c r="G20" s="320" t="s">
        <v>92</v>
      </c>
      <c r="H20" s="67"/>
    </row>
    <row r="21" spans="1:8" ht="15.75" customHeight="1">
      <c r="A21" s="62"/>
      <c r="B21" s="63">
        <v>29587</v>
      </c>
      <c r="C21" s="64">
        <v>100</v>
      </c>
      <c r="D21" s="64">
        <v>20</v>
      </c>
      <c r="E21" s="64"/>
      <c r="F21" s="65"/>
      <c r="G21" s="320" t="s">
        <v>92</v>
      </c>
      <c r="H21" s="67"/>
    </row>
    <row r="22" spans="1:8" ht="15.75" customHeight="1" thickBot="1">
      <c r="A22" s="62"/>
      <c r="B22" s="63">
        <v>29658</v>
      </c>
      <c r="C22" s="64">
        <v>110</v>
      </c>
      <c r="D22" s="64">
        <v>20</v>
      </c>
      <c r="E22" s="64"/>
      <c r="F22" s="65"/>
      <c r="G22" s="320" t="s">
        <v>92</v>
      </c>
      <c r="H22" s="67"/>
    </row>
    <row r="23" spans="1:8" ht="15.75" customHeight="1">
      <c r="A23" s="56" t="s">
        <v>91</v>
      </c>
      <c r="B23" s="57">
        <v>29895</v>
      </c>
      <c r="C23" s="58">
        <v>120</v>
      </c>
      <c r="D23" s="58">
        <v>0</v>
      </c>
      <c r="E23" s="58"/>
      <c r="F23" s="59"/>
      <c r="G23" s="319" t="s">
        <v>92</v>
      </c>
      <c r="H23" s="61"/>
    </row>
    <row r="24" spans="1:8" ht="15.75" customHeight="1" thickBot="1">
      <c r="A24" s="68"/>
      <c r="B24" s="69">
        <v>30054</v>
      </c>
      <c r="C24" s="70">
        <v>140</v>
      </c>
      <c r="D24" s="70">
        <v>0</v>
      </c>
      <c r="E24" s="329" t="s">
        <v>233</v>
      </c>
      <c r="F24" s="330"/>
      <c r="G24" s="321" t="s">
        <v>92</v>
      </c>
      <c r="H24" s="73"/>
    </row>
    <row r="25" spans="1:8" ht="15.75" customHeight="1" thickBot="1">
      <c r="A25" s="56" t="s">
        <v>93</v>
      </c>
      <c r="B25" s="57">
        <v>30188</v>
      </c>
      <c r="C25" s="58">
        <v>85</v>
      </c>
      <c r="D25" s="58">
        <v>0</v>
      </c>
      <c r="E25" s="329" t="s">
        <v>233</v>
      </c>
      <c r="F25" s="330"/>
      <c r="G25" s="319" t="s">
        <v>92</v>
      </c>
      <c r="H25" s="61"/>
    </row>
    <row r="26" spans="1:8" ht="15.75" customHeight="1">
      <c r="A26" s="56" t="s">
        <v>95</v>
      </c>
      <c r="B26" s="57">
        <v>30543</v>
      </c>
      <c r="C26" s="58">
        <v>50</v>
      </c>
      <c r="D26" s="58">
        <v>0</v>
      </c>
      <c r="E26" s="58"/>
      <c r="F26" s="59"/>
      <c r="G26" s="319" t="s">
        <v>92</v>
      </c>
      <c r="H26" s="61"/>
    </row>
    <row r="27" spans="1:8" ht="15.75" customHeight="1">
      <c r="A27" s="62"/>
      <c r="B27" s="63">
        <v>30568</v>
      </c>
      <c r="C27" s="64">
        <v>80</v>
      </c>
      <c r="D27" s="64">
        <v>0</v>
      </c>
      <c r="E27" s="329" t="s">
        <v>233</v>
      </c>
      <c r="F27" s="330"/>
      <c r="G27" s="320" t="s">
        <v>92</v>
      </c>
      <c r="H27" s="67"/>
    </row>
    <row r="28" spans="1:8" ht="15.75" customHeight="1">
      <c r="A28" s="62"/>
      <c r="B28" s="63">
        <v>30593</v>
      </c>
      <c r="C28" s="64">
        <v>100</v>
      </c>
      <c r="D28" s="64">
        <v>0</v>
      </c>
      <c r="E28" s="64"/>
      <c r="F28" s="65"/>
      <c r="G28" s="320" t="s">
        <v>92</v>
      </c>
      <c r="H28" s="67"/>
    </row>
    <row r="29" spans="1:8" ht="15.75" customHeight="1" thickBot="1">
      <c r="A29" s="68"/>
      <c r="B29" s="69">
        <v>30735</v>
      </c>
      <c r="C29" s="70">
        <v>120</v>
      </c>
      <c r="D29" s="70">
        <v>0</v>
      </c>
      <c r="E29" s="70"/>
      <c r="F29" s="71"/>
      <c r="G29" s="321" t="s">
        <v>92</v>
      </c>
      <c r="H29" s="73"/>
    </row>
    <row r="30" spans="1:8" ht="15.75" customHeight="1">
      <c r="A30" s="56" t="s">
        <v>96</v>
      </c>
      <c r="B30" s="57">
        <v>30932</v>
      </c>
      <c r="C30" s="58">
        <v>100</v>
      </c>
      <c r="D30" s="58">
        <v>0</v>
      </c>
      <c r="E30" s="58"/>
      <c r="F30" s="59"/>
      <c r="G30" s="319" t="s">
        <v>92</v>
      </c>
      <c r="H30" s="61"/>
    </row>
    <row r="31" spans="1:8" ht="15.75" customHeight="1">
      <c r="A31" s="62"/>
      <c r="B31" s="63">
        <v>30950</v>
      </c>
      <c r="C31" s="64">
        <v>120</v>
      </c>
      <c r="D31" s="64">
        <v>20</v>
      </c>
      <c r="E31" s="329" t="s">
        <v>233</v>
      </c>
      <c r="F31" s="330"/>
      <c r="G31" s="320" t="s">
        <v>92</v>
      </c>
      <c r="H31" s="67"/>
    </row>
    <row r="32" spans="1:8" ht="15.75" customHeight="1" thickBot="1">
      <c r="A32" s="68"/>
      <c r="B32" s="69">
        <v>31093</v>
      </c>
      <c r="C32" s="70">
        <v>130</v>
      </c>
      <c r="D32" s="70">
        <v>40</v>
      </c>
      <c r="E32" s="70"/>
      <c r="F32" s="71"/>
      <c r="G32" s="321" t="s">
        <v>92</v>
      </c>
      <c r="H32" s="73"/>
    </row>
    <row r="33" spans="1:8" ht="15.75" customHeight="1">
      <c r="A33" s="56" t="s">
        <v>97</v>
      </c>
      <c r="B33" s="57">
        <v>31267</v>
      </c>
      <c r="C33" s="58">
        <v>55</v>
      </c>
      <c r="D33" s="58">
        <v>0</v>
      </c>
      <c r="E33" s="58"/>
      <c r="F33" s="59"/>
      <c r="G33" s="319" t="s">
        <v>92</v>
      </c>
      <c r="H33" s="61"/>
    </row>
    <row r="34" spans="1:8" ht="15.75" customHeight="1">
      <c r="A34" s="62"/>
      <c r="B34" s="63">
        <v>31282</v>
      </c>
      <c r="C34" s="64">
        <v>65</v>
      </c>
      <c r="D34" s="64">
        <v>0</v>
      </c>
      <c r="E34" s="64"/>
      <c r="F34" s="65"/>
      <c r="G34" s="320" t="s">
        <v>92</v>
      </c>
      <c r="H34" s="67"/>
    </row>
    <row r="35" spans="1:8" ht="15.75" customHeight="1">
      <c r="A35" s="62"/>
      <c r="B35" s="63">
        <v>31300</v>
      </c>
      <c r="C35" s="64">
        <v>100</v>
      </c>
      <c r="D35" s="64">
        <v>0</v>
      </c>
      <c r="E35" s="64"/>
      <c r="F35" s="65"/>
      <c r="G35" s="320" t="s">
        <v>92</v>
      </c>
      <c r="H35" s="67"/>
    </row>
    <row r="36" spans="1:8" ht="15.75" customHeight="1">
      <c r="A36" s="62"/>
      <c r="B36" s="63">
        <v>31352</v>
      </c>
      <c r="C36" s="64">
        <v>110</v>
      </c>
      <c r="D36" s="64">
        <v>0</v>
      </c>
      <c r="E36" s="329" t="s">
        <v>233</v>
      </c>
      <c r="F36" s="330"/>
      <c r="G36" s="320" t="s">
        <v>92</v>
      </c>
      <c r="H36" s="67"/>
    </row>
    <row r="37" spans="1:8" ht="15.75" customHeight="1">
      <c r="A37" s="62"/>
      <c r="B37" s="63">
        <v>31412</v>
      </c>
      <c r="C37" s="64">
        <v>120</v>
      </c>
      <c r="D37" s="64">
        <v>0</v>
      </c>
      <c r="E37" s="64"/>
      <c r="F37" s="65"/>
      <c r="G37" s="320" t="s">
        <v>92</v>
      </c>
      <c r="H37" s="67"/>
    </row>
    <row r="38" spans="1:8" ht="15.75" customHeight="1">
      <c r="A38" s="62"/>
      <c r="B38" s="63">
        <v>31454</v>
      </c>
      <c r="C38" s="64">
        <v>120</v>
      </c>
      <c r="D38" s="64">
        <v>20</v>
      </c>
      <c r="E38" s="64"/>
      <c r="F38" s="65"/>
      <c r="G38" s="320" t="s">
        <v>92</v>
      </c>
      <c r="H38" s="67"/>
    </row>
    <row r="39" spans="1:8" ht="15.75" customHeight="1" thickBot="1">
      <c r="A39" s="68"/>
      <c r="B39" s="69">
        <v>31476</v>
      </c>
      <c r="C39" s="70">
        <v>130</v>
      </c>
      <c r="D39" s="70">
        <v>40</v>
      </c>
      <c r="E39" s="70"/>
      <c r="F39" s="71"/>
      <c r="G39" s="321" t="s">
        <v>92</v>
      </c>
      <c r="H39" s="73"/>
    </row>
    <row r="40" spans="1:8" ht="15.75" customHeight="1">
      <c r="A40" s="62" t="s">
        <v>98</v>
      </c>
      <c r="B40" s="63">
        <v>31656</v>
      </c>
      <c r="C40" s="64">
        <v>70</v>
      </c>
      <c r="D40" s="64">
        <v>0</v>
      </c>
      <c r="E40" s="64"/>
      <c r="F40" s="65"/>
      <c r="G40" s="320" t="s">
        <v>92</v>
      </c>
      <c r="H40" s="67"/>
    </row>
    <row r="41" spans="1:8" ht="15.75" customHeight="1">
      <c r="A41" s="62"/>
      <c r="B41" s="63">
        <v>31671</v>
      </c>
      <c r="C41" s="64">
        <v>80</v>
      </c>
      <c r="D41" s="64">
        <v>0</v>
      </c>
      <c r="E41" s="64"/>
      <c r="F41" s="65"/>
      <c r="G41" s="320" t="s">
        <v>92</v>
      </c>
      <c r="H41" s="67"/>
    </row>
    <row r="42" spans="1:8" ht="15.75" customHeight="1">
      <c r="A42" s="62"/>
      <c r="B42" s="63">
        <v>31688</v>
      </c>
      <c r="C42" s="64">
        <v>100</v>
      </c>
      <c r="D42" s="64">
        <v>0</v>
      </c>
      <c r="E42" s="64"/>
      <c r="F42" s="65"/>
      <c r="G42" s="320" t="s">
        <v>92</v>
      </c>
      <c r="H42" s="67"/>
    </row>
    <row r="43" spans="1:8" ht="15.75" customHeight="1">
      <c r="A43" s="62"/>
      <c r="B43" s="63">
        <v>31708</v>
      </c>
      <c r="C43" s="64">
        <v>115</v>
      </c>
      <c r="D43" s="64">
        <v>0</v>
      </c>
      <c r="E43" s="329" t="s">
        <v>233</v>
      </c>
      <c r="F43" s="330"/>
      <c r="G43" s="320" t="s">
        <v>92</v>
      </c>
      <c r="H43" s="67"/>
    </row>
    <row r="44" spans="1:8" ht="15.75" customHeight="1">
      <c r="A44" s="62"/>
      <c r="B44" s="63">
        <v>31749</v>
      </c>
      <c r="C44" s="64">
        <v>130</v>
      </c>
      <c r="D44" s="64">
        <v>0</v>
      </c>
      <c r="E44" s="64"/>
      <c r="F44" s="65"/>
      <c r="G44" s="320" t="s">
        <v>92</v>
      </c>
      <c r="H44" s="67"/>
    </row>
    <row r="45" spans="1:8" ht="15.75" customHeight="1">
      <c r="A45" s="62"/>
      <c r="B45" s="63">
        <v>31854</v>
      </c>
      <c r="C45" s="64">
        <v>130</v>
      </c>
      <c r="D45" s="64">
        <v>20</v>
      </c>
      <c r="E45" s="64"/>
      <c r="F45" s="65"/>
      <c r="G45" s="320" t="s">
        <v>92</v>
      </c>
      <c r="H45" s="67"/>
    </row>
    <row r="46" spans="1:8" ht="15.75" customHeight="1" thickBot="1">
      <c r="A46" s="68"/>
      <c r="B46" s="69">
        <v>31901</v>
      </c>
      <c r="C46" s="70">
        <v>140</v>
      </c>
      <c r="D46" s="70">
        <v>20</v>
      </c>
      <c r="E46" s="70"/>
      <c r="F46" s="71"/>
      <c r="G46" s="321" t="s">
        <v>92</v>
      </c>
      <c r="H46" s="73"/>
    </row>
    <row r="47" spans="1:8" ht="15.75" customHeight="1">
      <c r="A47" s="62" t="s">
        <v>99</v>
      </c>
      <c r="B47" s="63">
        <v>32003</v>
      </c>
      <c r="C47" s="64">
        <v>90</v>
      </c>
      <c r="D47" s="64">
        <v>0</v>
      </c>
      <c r="E47" s="64"/>
      <c r="F47" s="65"/>
      <c r="G47" s="320" t="s">
        <v>92</v>
      </c>
      <c r="H47" s="67"/>
    </row>
    <row r="48" spans="1:8" ht="15.75" customHeight="1">
      <c r="A48" s="62"/>
      <c r="B48" s="63">
        <v>32031</v>
      </c>
      <c r="C48" s="64">
        <v>110</v>
      </c>
      <c r="D48" s="64">
        <v>0</v>
      </c>
      <c r="E48" s="64"/>
      <c r="F48" s="65"/>
      <c r="G48" s="320" t="s">
        <v>92</v>
      </c>
      <c r="H48" s="67"/>
    </row>
    <row r="49" spans="1:8" ht="15.75" customHeight="1">
      <c r="A49" s="62"/>
      <c r="B49" s="63">
        <v>32090</v>
      </c>
      <c r="C49" s="64">
        <v>120</v>
      </c>
      <c r="D49" s="64">
        <v>0</v>
      </c>
      <c r="E49" s="329" t="s">
        <v>233</v>
      </c>
      <c r="F49" s="330"/>
      <c r="G49" s="320" t="s">
        <v>92</v>
      </c>
      <c r="H49" s="67"/>
    </row>
    <row r="50" spans="1:8" ht="15.75" customHeight="1">
      <c r="A50" s="62"/>
      <c r="B50" s="63">
        <v>32096</v>
      </c>
      <c r="C50" s="64">
        <v>120</v>
      </c>
      <c r="D50" s="64">
        <v>20</v>
      </c>
      <c r="E50" s="64"/>
      <c r="F50" s="65"/>
      <c r="G50" s="320" t="s">
        <v>92</v>
      </c>
      <c r="H50" s="67"/>
    </row>
    <row r="51" spans="1:8" ht="15.75" customHeight="1" thickBot="1">
      <c r="A51" s="68"/>
      <c r="B51" s="69">
        <v>32170</v>
      </c>
      <c r="C51" s="70">
        <v>120</v>
      </c>
      <c r="D51" s="70">
        <v>35</v>
      </c>
      <c r="E51" s="70"/>
      <c r="F51" s="71"/>
      <c r="G51" s="321" t="s">
        <v>92</v>
      </c>
      <c r="H51" s="73"/>
    </row>
    <row r="52" spans="1:8" ht="15.75" customHeight="1">
      <c r="A52" s="56" t="s">
        <v>100</v>
      </c>
      <c r="B52" s="57">
        <v>32391</v>
      </c>
      <c r="C52" s="58">
        <v>60</v>
      </c>
      <c r="D52" s="58">
        <v>0</v>
      </c>
      <c r="E52" s="58"/>
      <c r="F52" s="59"/>
      <c r="G52" s="319" t="s">
        <v>92</v>
      </c>
      <c r="H52" s="61"/>
    </row>
    <row r="53" spans="1:8" ht="15.75" customHeight="1">
      <c r="A53" s="62"/>
      <c r="B53" s="63">
        <v>32414</v>
      </c>
      <c r="C53" s="64">
        <v>80</v>
      </c>
      <c r="D53" s="64">
        <v>0</v>
      </c>
      <c r="E53" s="64"/>
      <c r="F53" s="65"/>
      <c r="G53" s="320" t="s">
        <v>92</v>
      </c>
      <c r="H53" s="67"/>
    </row>
    <row r="54" spans="1:8" ht="15.75" customHeight="1">
      <c r="A54" s="62"/>
      <c r="B54" s="63">
        <v>32429</v>
      </c>
      <c r="C54" s="64">
        <v>100</v>
      </c>
      <c r="D54" s="64">
        <v>0</v>
      </c>
      <c r="E54" s="329" t="s">
        <v>233</v>
      </c>
      <c r="F54" s="330"/>
      <c r="G54" s="320" t="s">
        <v>92</v>
      </c>
      <c r="H54" s="67"/>
    </row>
    <row r="55" spans="1:8" ht="15.75" customHeight="1">
      <c r="A55" s="62"/>
      <c r="B55" s="63">
        <v>32491</v>
      </c>
      <c r="C55" s="64">
        <v>110</v>
      </c>
      <c r="D55" s="64">
        <v>20</v>
      </c>
      <c r="E55" s="329" t="s">
        <v>233</v>
      </c>
      <c r="F55" s="330"/>
      <c r="G55" s="320" t="s">
        <v>92</v>
      </c>
      <c r="H55" s="67"/>
    </row>
    <row r="56" spans="1:8" ht="15.75" customHeight="1">
      <c r="A56" s="62"/>
      <c r="B56" s="63">
        <v>32525</v>
      </c>
      <c r="C56" s="64">
        <v>120</v>
      </c>
      <c r="D56" s="64">
        <v>20</v>
      </c>
      <c r="E56" s="64"/>
      <c r="F56" s="65"/>
      <c r="G56" s="320" t="s">
        <v>92</v>
      </c>
      <c r="H56" s="67"/>
    </row>
    <row r="57" spans="1:8" ht="15.75" customHeight="1">
      <c r="A57" s="62"/>
      <c r="B57" s="63">
        <v>32577</v>
      </c>
      <c r="C57" s="64">
        <v>130</v>
      </c>
      <c r="D57" s="64">
        <v>20</v>
      </c>
      <c r="E57" s="64"/>
      <c r="F57" s="65"/>
      <c r="G57" s="320" t="s">
        <v>92</v>
      </c>
      <c r="H57" s="67"/>
    </row>
    <row r="58" spans="1:8" ht="15.75" customHeight="1" thickBot="1">
      <c r="A58" s="68"/>
      <c r="B58" s="69">
        <v>32631</v>
      </c>
      <c r="C58" s="70">
        <v>140</v>
      </c>
      <c r="D58" s="70">
        <v>20</v>
      </c>
      <c r="E58" s="70"/>
      <c r="F58" s="71"/>
      <c r="G58" s="321" t="s">
        <v>92</v>
      </c>
      <c r="H58" s="73"/>
    </row>
    <row r="59" spans="1:8" ht="15.75" customHeight="1">
      <c r="A59" s="56" t="s">
        <v>101</v>
      </c>
      <c r="B59" s="57">
        <v>32724</v>
      </c>
      <c r="C59" s="58">
        <v>120</v>
      </c>
      <c r="D59" s="58">
        <v>0</v>
      </c>
      <c r="E59" s="58"/>
      <c r="F59" s="59"/>
      <c r="G59" s="319" t="s">
        <v>92</v>
      </c>
      <c r="H59" s="61"/>
    </row>
    <row r="60" spans="1:8" ht="15.75" customHeight="1">
      <c r="A60" s="62"/>
      <c r="B60" s="63">
        <v>32800</v>
      </c>
      <c r="C60" s="64">
        <v>130</v>
      </c>
      <c r="D60" s="64">
        <v>0</v>
      </c>
      <c r="E60" s="329" t="s">
        <v>233</v>
      </c>
      <c r="F60" s="330"/>
      <c r="G60" s="320" t="s">
        <v>92</v>
      </c>
      <c r="H60" s="67"/>
    </row>
    <row r="61" spans="1:8" ht="15.75" customHeight="1">
      <c r="A61" s="62"/>
      <c r="B61" s="63">
        <v>32883</v>
      </c>
      <c r="C61" s="64">
        <v>130</v>
      </c>
      <c r="D61" s="64">
        <v>20</v>
      </c>
      <c r="E61" s="64"/>
      <c r="F61" s="65"/>
      <c r="G61" s="320" t="s">
        <v>92</v>
      </c>
      <c r="H61" s="67"/>
    </row>
    <row r="62" spans="1:8" ht="15.75" customHeight="1" thickBot="1">
      <c r="A62" s="68"/>
      <c r="B62" s="69">
        <v>32927</v>
      </c>
      <c r="C62" s="70">
        <v>140</v>
      </c>
      <c r="D62" s="70">
        <v>20</v>
      </c>
      <c r="E62" s="70"/>
      <c r="F62" s="71"/>
      <c r="G62" s="321" t="s">
        <v>92</v>
      </c>
      <c r="H62" s="73"/>
    </row>
    <row r="63" spans="1:8" ht="15.75" customHeight="1">
      <c r="A63" s="56" t="s">
        <v>102</v>
      </c>
      <c r="B63" s="57">
        <v>33186</v>
      </c>
      <c r="C63" s="58">
        <v>130</v>
      </c>
      <c r="D63" s="58">
        <v>0</v>
      </c>
      <c r="E63" s="58"/>
      <c r="F63" s="59"/>
      <c r="G63" s="319" t="s">
        <v>92</v>
      </c>
      <c r="H63" s="61"/>
    </row>
    <row r="64" spans="1:8" ht="15.75" customHeight="1">
      <c r="A64" s="62"/>
      <c r="B64" s="63">
        <v>33256</v>
      </c>
      <c r="C64" s="64">
        <v>130</v>
      </c>
      <c r="D64" s="64">
        <v>20</v>
      </c>
      <c r="E64" s="329" t="s">
        <v>233</v>
      </c>
      <c r="F64" s="330"/>
      <c r="G64" s="320" t="s">
        <v>92</v>
      </c>
      <c r="H64" s="67"/>
    </row>
    <row r="65" spans="1:8" ht="15.75" customHeight="1" thickBot="1">
      <c r="A65" s="68"/>
      <c r="B65" s="69">
        <v>33305</v>
      </c>
      <c r="C65" s="70">
        <v>140</v>
      </c>
      <c r="D65" s="70">
        <v>50</v>
      </c>
      <c r="E65" s="70"/>
      <c r="F65" s="71"/>
      <c r="G65" s="321" t="s">
        <v>92</v>
      </c>
      <c r="H65" s="73"/>
    </row>
    <row r="66" spans="1:8" ht="15.75" customHeight="1">
      <c r="A66" s="56" t="s">
        <v>103</v>
      </c>
      <c r="B66" s="57">
        <v>33487</v>
      </c>
      <c r="C66" s="58">
        <v>110</v>
      </c>
      <c r="D66" s="58">
        <v>20</v>
      </c>
      <c r="E66" s="58"/>
      <c r="F66" s="59"/>
      <c r="G66" s="319" t="s">
        <v>227</v>
      </c>
      <c r="H66" s="61"/>
    </row>
    <row r="67" spans="1:8" ht="15.75" customHeight="1">
      <c r="A67" s="62"/>
      <c r="B67" s="63">
        <v>33507</v>
      </c>
      <c r="C67" s="64">
        <v>130</v>
      </c>
      <c r="D67" s="64">
        <v>30</v>
      </c>
      <c r="E67" s="329" t="s">
        <v>233</v>
      </c>
      <c r="F67" s="330"/>
      <c r="G67" s="320" t="s">
        <v>104</v>
      </c>
      <c r="H67" s="67"/>
    </row>
    <row r="68" spans="1:8" ht="15.75" customHeight="1">
      <c r="A68" s="62"/>
      <c r="B68" s="63">
        <v>33553</v>
      </c>
      <c r="C68" s="64">
        <v>130</v>
      </c>
      <c r="D68" s="64">
        <v>50</v>
      </c>
      <c r="E68" s="64"/>
      <c r="F68" s="65"/>
      <c r="G68" s="320" t="s">
        <v>104</v>
      </c>
      <c r="H68" s="67"/>
    </row>
    <row r="69" spans="1:8" ht="15.75" customHeight="1" thickBot="1">
      <c r="A69" s="68"/>
      <c r="B69" s="69">
        <v>33696</v>
      </c>
      <c r="C69" s="70">
        <v>140</v>
      </c>
      <c r="D69" s="70">
        <v>50</v>
      </c>
      <c r="E69" s="70"/>
      <c r="F69" s="71"/>
      <c r="G69" s="321" t="s">
        <v>104</v>
      </c>
      <c r="H69" s="73"/>
    </row>
    <row r="70" spans="1:8" ht="15.75" customHeight="1">
      <c r="A70" s="56" t="s">
        <v>105</v>
      </c>
      <c r="B70" s="57">
        <v>33844</v>
      </c>
      <c r="C70" s="58">
        <v>90</v>
      </c>
      <c r="D70" s="58">
        <v>20</v>
      </c>
      <c r="E70" s="58"/>
      <c r="F70" s="59"/>
      <c r="G70" s="319" t="s">
        <v>104</v>
      </c>
      <c r="H70" s="61"/>
    </row>
    <row r="71" spans="1:8" ht="15.75" customHeight="1">
      <c r="A71" s="62"/>
      <c r="B71" s="63">
        <v>33854</v>
      </c>
      <c r="C71" s="64">
        <v>110</v>
      </c>
      <c r="D71" s="64">
        <v>20</v>
      </c>
      <c r="E71" s="329" t="s">
        <v>233</v>
      </c>
      <c r="F71" s="330"/>
      <c r="G71" s="320" t="s">
        <v>104</v>
      </c>
      <c r="H71" s="67"/>
    </row>
    <row r="72" spans="1:8" ht="15.75" customHeight="1" thickBot="1">
      <c r="A72" s="68"/>
      <c r="B72" s="69">
        <v>33877</v>
      </c>
      <c r="C72" s="70">
        <v>130</v>
      </c>
      <c r="D72" s="70">
        <v>50</v>
      </c>
      <c r="E72" s="70"/>
      <c r="F72" s="71"/>
      <c r="G72" s="321" t="s">
        <v>104</v>
      </c>
      <c r="H72" s="73"/>
    </row>
    <row r="73" spans="1:8" ht="15.75" customHeight="1" thickBot="1">
      <c r="A73" s="74" t="s">
        <v>106</v>
      </c>
      <c r="B73" s="75">
        <v>34211</v>
      </c>
      <c r="C73" s="76">
        <v>130</v>
      </c>
      <c r="D73" s="76">
        <v>0</v>
      </c>
      <c r="E73" s="329" t="s">
        <v>233</v>
      </c>
      <c r="F73" s="330"/>
      <c r="G73" s="136" t="s">
        <v>104</v>
      </c>
      <c r="H73" s="79"/>
    </row>
    <row r="74" spans="1:8" ht="15.75" customHeight="1">
      <c r="A74" s="56" t="s">
        <v>108</v>
      </c>
      <c r="B74" s="57">
        <v>34585</v>
      </c>
      <c r="C74" s="58">
        <v>95</v>
      </c>
      <c r="D74" s="58">
        <v>25</v>
      </c>
      <c r="E74" s="331" t="s">
        <v>233</v>
      </c>
      <c r="F74" s="332"/>
      <c r="G74" s="319" t="s">
        <v>104</v>
      </c>
      <c r="H74" s="61"/>
    </row>
    <row r="75" spans="1:8" ht="15.75" customHeight="1" thickBot="1">
      <c r="A75" s="68"/>
      <c r="B75" s="69">
        <v>34624</v>
      </c>
      <c r="C75" s="70">
        <v>95</v>
      </c>
      <c r="D75" s="70">
        <v>15</v>
      </c>
      <c r="E75" s="70"/>
      <c r="F75" s="71"/>
      <c r="G75" s="321" t="s">
        <v>104</v>
      </c>
      <c r="H75" s="73" t="s">
        <v>228</v>
      </c>
    </row>
    <row r="76" spans="1:8" ht="15.75" customHeight="1">
      <c r="A76" s="56" t="s">
        <v>109</v>
      </c>
      <c r="B76" s="57">
        <v>34947</v>
      </c>
      <c r="C76" s="58">
        <v>80</v>
      </c>
      <c r="D76" s="58">
        <v>0</v>
      </c>
      <c r="E76" s="58"/>
      <c r="F76" s="59"/>
      <c r="G76" s="319" t="s">
        <v>104</v>
      </c>
      <c r="H76" s="61"/>
    </row>
    <row r="77" spans="1:8" ht="15.75" customHeight="1">
      <c r="A77" s="62"/>
      <c r="B77" s="63">
        <v>34967</v>
      </c>
      <c r="C77" s="64">
        <v>90</v>
      </c>
      <c r="D77" s="64">
        <v>0</v>
      </c>
      <c r="E77" s="64"/>
      <c r="F77" s="65"/>
      <c r="G77" s="320" t="s">
        <v>104</v>
      </c>
      <c r="H77" s="67"/>
    </row>
    <row r="78" spans="1:8" ht="15.75" customHeight="1">
      <c r="A78" s="62"/>
      <c r="B78" s="63">
        <v>35016</v>
      </c>
      <c r="C78" s="64">
        <v>95</v>
      </c>
      <c r="D78" s="64">
        <v>0</v>
      </c>
      <c r="E78" s="329" t="s">
        <v>233</v>
      </c>
      <c r="F78" s="330"/>
      <c r="G78" s="320" t="s">
        <v>104</v>
      </c>
      <c r="H78" s="67"/>
    </row>
    <row r="79" spans="1:8" ht="15.75" customHeight="1">
      <c r="A79" s="62"/>
      <c r="B79" s="63">
        <v>35045</v>
      </c>
      <c r="C79" s="64">
        <v>100</v>
      </c>
      <c r="D79" s="64">
        <v>10</v>
      </c>
      <c r="E79" s="64"/>
      <c r="F79" s="65"/>
      <c r="G79" s="320" t="s">
        <v>104</v>
      </c>
      <c r="H79" s="67"/>
    </row>
    <row r="80" spans="1:8" ht="15.75" customHeight="1" thickBot="1">
      <c r="A80" s="68"/>
      <c r="B80" s="69">
        <v>34746</v>
      </c>
      <c r="C80" s="70">
        <v>100</v>
      </c>
      <c r="D80" s="70">
        <v>35</v>
      </c>
      <c r="E80" s="70"/>
      <c r="F80" s="71"/>
      <c r="G80" s="321" t="s">
        <v>104</v>
      </c>
      <c r="H80" s="73"/>
    </row>
    <row r="81" spans="1:8" ht="15.75" customHeight="1">
      <c r="A81" s="56" t="s">
        <v>110</v>
      </c>
      <c r="B81" s="57">
        <v>35312</v>
      </c>
      <c r="C81" s="58">
        <v>100</v>
      </c>
      <c r="D81" s="58">
        <v>0</v>
      </c>
      <c r="E81" s="329" t="s">
        <v>233</v>
      </c>
      <c r="F81" s="330"/>
      <c r="G81" s="319" t="s">
        <v>104</v>
      </c>
      <c r="H81" s="61"/>
    </row>
    <row r="82" spans="1:8" ht="15.75" customHeight="1" thickBot="1">
      <c r="A82" s="68"/>
      <c r="B82" s="69">
        <v>35468</v>
      </c>
      <c r="C82" s="70">
        <v>100</v>
      </c>
      <c r="D82" s="70">
        <v>10</v>
      </c>
      <c r="E82" s="70"/>
      <c r="F82" s="71"/>
      <c r="G82" s="321" t="s">
        <v>104</v>
      </c>
      <c r="H82" s="73"/>
    </row>
    <row r="83" spans="1:8" ht="12.75">
      <c r="A83" s="14" t="s">
        <v>112</v>
      </c>
      <c r="B83" s="15">
        <v>35657</v>
      </c>
      <c r="C83" s="150">
        <v>0.57</v>
      </c>
      <c r="E83"/>
      <c r="H83" s="120"/>
    </row>
    <row r="84" spans="2:8" ht="12.75">
      <c r="B84" s="15">
        <v>35685</v>
      </c>
      <c r="C84" s="150">
        <v>0.62</v>
      </c>
      <c r="H84" s="151"/>
    </row>
    <row r="85" spans="2:8" ht="12.75">
      <c r="B85" s="1">
        <v>35699</v>
      </c>
      <c r="C85" s="152">
        <v>0.72</v>
      </c>
      <c r="E85" s="329" t="s">
        <v>233</v>
      </c>
      <c r="F85" s="330"/>
      <c r="H85" s="151"/>
    </row>
    <row r="86" spans="2:8" ht="12.75">
      <c r="B86" s="1">
        <v>35758</v>
      </c>
      <c r="C86" s="152">
        <v>0.8</v>
      </c>
      <c r="H86" s="151"/>
    </row>
    <row r="87" spans="2:8" ht="12.75">
      <c r="B87" s="1">
        <v>35782</v>
      </c>
      <c r="C87" s="129">
        <v>0.83</v>
      </c>
      <c r="H87" s="151"/>
    </row>
    <row r="88" spans="1:8" s="5" customFormat="1" ht="13.5" thickBot="1">
      <c r="A88" s="10"/>
      <c r="B88" s="11">
        <v>35850</v>
      </c>
      <c r="C88" s="153">
        <v>0.84</v>
      </c>
      <c r="D88" s="25"/>
      <c r="E88" s="25"/>
      <c r="F88" s="13"/>
      <c r="G88" s="323"/>
      <c r="H88" s="121"/>
    </row>
    <row r="89" spans="1:8" ht="12.75">
      <c r="A89" s="14" t="s">
        <v>113</v>
      </c>
      <c r="B89" s="15">
        <v>36000</v>
      </c>
      <c r="C89" s="150">
        <v>0</v>
      </c>
      <c r="E89" s="24">
        <v>3</v>
      </c>
      <c r="H89" s="120" t="s">
        <v>229</v>
      </c>
    </row>
    <row r="90" spans="2:8" ht="12.75">
      <c r="B90" s="15">
        <v>36024</v>
      </c>
      <c r="C90" s="150">
        <v>0.11</v>
      </c>
      <c r="H90" s="151" t="s">
        <v>230</v>
      </c>
    </row>
    <row r="91" spans="2:8" ht="12.75">
      <c r="B91" s="1">
        <v>36047</v>
      </c>
      <c r="C91" s="152">
        <v>0.3</v>
      </c>
      <c r="H91" s="151" t="s">
        <v>231</v>
      </c>
    </row>
    <row r="92" spans="2:8" ht="12.75">
      <c r="B92" s="15">
        <v>36061</v>
      </c>
      <c r="C92" s="150">
        <v>0.4</v>
      </c>
      <c r="H92" s="151" t="s">
        <v>232</v>
      </c>
    </row>
    <row r="93" spans="2:8" ht="12.75">
      <c r="B93" s="15">
        <v>36069</v>
      </c>
      <c r="C93" s="150">
        <v>0.65</v>
      </c>
      <c r="H93" s="151"/>
    </row>
    <row r="94" spans="2:8" ht="12.75">
      <c r="B94" s="1">
        <v>36080</v>
      </c>
      <c r="C94" s="129">
        <v>0.74</v>
      </c>
      <c r="H94" s="151"/>
    </row>
    <row r="95" spans="2:8" ht="12.75">
      <c r="B95" s="1">
        <v>36094</v>
      </c>
      <c r="C95" s="129">
        <v>0.79</v>
      </c>
      <c r="H95" s="151"/>
    </row>
    <row r="96" spans="1:8" ht="12.75">
      <c r="A96" s="154"/>
      <c r="B96" s="125">
        <v>36122</v>
      </c>
      <c r="C96" s="155">
        <v>0.83</v>
      </c>
      <c r="D96" s="156"/>
      <c r="H96" s="151"/>
    </row>
    <row r="97" spans="1:256" s="102" customFormat="1" ht="13.5" thickBot="1">
      <c r="A97" s="10"/>
      <c r="B97" s="11">
        <v>36207</v>
      </c>
      <c r="C97" s="153">
        <v>0.93</v>
      </c>
      <c r="D97" s="25"/>
      <c r="E97" s="25"/>
      <c r="F97" s="13"/>
      <c r="G97" s="323"/>
      <c r="H97" s="121"/>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8" ht="12.75">
      <c r="A98" s="14" t="s">
        <v>183</v>
      </c>
      <c r="B98" s="15">
        <v>36367</v>
      </c>
      <c r="C98" s="129">
        <v>0</v>
      </c>
      <c r="E98" s="24">
        <v>20</v>
      </c>
      <c r="F98" s="24">
        <v>20</v>
      </c>
      <c r="H98" s="151"/>
    </row>
    <row r="99" spans="2:8" ht="12.75">
      <c r="B99" s="125">
        <v>36412</v>
      </c>
      <c r="C99" s="157">
        <v>0.04</v>
      </c>
      <c r="E99" s="24">
        <v>20</v>
      </c>
      <c r="F99" s="24">
        <v>20</v>
      </c>
      <c r="H99" s="151"/>
    </row>
    <row r="100" spans="2:8" ht="12.75">
      <c r="B100" s="125">
        <v>36426</v>
      </c>
      <c r="C100" s="157">
        <v>0.11</v>
      </c>
      <c r="E100" s="24">
        <v>20</v>
      </c>
      <c r="F100" s="24">
        <v>20</v>
      </c>
      <c r="H100" s="151"/>
    </row>
    <row r="101" spans="2:8" ht="12.75">
      <c r="B101" s="125">
        <v>36447</v>
      </c>
      <c r="C101" s="157">
        <v>0.17</v>
      </c>
      <c r="E101" s="24">
        <v>20</v>
      </c>
      <c r="F101" s="24">
        <v>20</v>
      </c>
      <c r="H101" s="151"/>
    </row>
    <row r="102" spans="2:8" ht="12.75">
      <c r="B102" s="125">
        <v>36469</v>
      </c>
      <c r="C102" s="157">
        <v>0.18</v>
      </c>
      <c r="E102" s="24">
        <v>20</v>
      </c>
      <c r="F102" s="24">
        <v>20</v>
      </c>
      <c r="H102" s="151"/>
    </row>
    <row r="103" spans="2:8" ht="12.75">
      <c r="B103" s="125">
        <v>36517</v>
      </c>
      <c r="C103" s="157">
        <v>0.23</v>
      </c>
      <c r="E103" s="24">
        <v>20</v>
      </c>
      <c r="F103" s="24">
        <v>20</v>
      </c>
      <c r="H103" s="151"/>
    </row>
    <row r="104" spans="2:8" ht="12.75">
      <c r="B104" s="125">
        <v>36529</v>
      </c>
      <c r="C104" s="157">
        <v>0.28</v>
      </c>
      <c r="E104" s="24">
        <v>20</v>
      </c>
      <c r="F104" s="24">
        <v>20</v>
      </c>
      <c r="H104" s="151"/>
    </row>
    <row r="105" spans="2:8" ht="12.75">
      <c r="B105" s="1">
        <v>36614</v>
      </c>
      <c r="C105" s="157">
        <v>0.33</v>
      </c>
      <c r="E105" s="24">
        <v>20</v>
      </c>
      <c r="F105" s="24">
        <v>20</v>
      </c>
      <c r="H105" s="151"/>
    </row>
    <row r="106" spans="1:8" ht="13.5" thickBot="1">
      <c r="A106" s="10"/>
      <c r="B106" s="11">
        <v>36643</v>
      </c>
      <c r="C106" s="146">
        <v>0.35</v>
      </c>
      <c r="D106" s="25"/>
      <c r="E106" s="25">
        <v>20</v>
      </c>
      <c r="F106" s="146">
        <v>0.2</v>
      </c>
      <c r="G106" s="323"/>
      <c r="H106" s="121"/>
    </row>
    <row r="107" spans="1:8" ht="12.75">
      <c r="A107" s="147" t="s">
        <v>234</v>
      </c>
      <c r="B107" s="7">
        <v>36724</v>
      </c>
      <c r="C107" s="159">
        <v>0.09</v>
      </c>
      <c r="D107" s="159"/>
      <c r="E107" s="159">
        <v>0.2</v>
      </c>
      <c r="F107" s="159">
        <v>0.15</v>
      </c>
      <c r="G107" s="324"/>
      <c r="H107" s="120"/>
    </row>
    <row r="108" spans="1:8" ht="12.75">
      <c r="A108" s="158"/>
      <c r="B108" s="15">
        <v>36753</v>
      </c>
      <c r="C108" s="157">
        <v>0.14</v>
      </c>
      <c r="D108" s="157"/>
      <c r="E108" s="157">
        <v>0.2</v>
      </c>
      <c r="F108" s="157">
        <v>0.15</v>
      </c>
      <c r="H108" s="151"/>
    </row>
    <row r="109" spans="1:8" ht="12.75">
      <c r="A109" s="158"/>
      <c r="B109" s="15">
        <v>36760</v>
      </c>
      <c r="C109" s="157">
        <v>0.3</v>
      </c>
      <c r="D109" s="157"/>
      <c r="E109" s="157">
        <v>0.2</v>
      </c>
      <c r="F109" s="157">
        <v>0.15</v>
      </c>
      <c r="H109" s="151"/>
    </row>
    <row r="110" spans="1:8" ht="12.75">
      <c r="A110" s="158"/>
      <c r="B110" s="15">
        <v>36784</v>
      </c>
      <c r="C110" s="157">
        <v>0.5</v>
      </c>
      <c r="D110" s="157"/>
      <c r="E110" s="157">
        <v>0.2</v>
      </c>
      <c r="F110" s="157">
        <v>0.15</v>
      </c>
      <c r="H110" s="151"/>
    </row>
    <row r="111" spans="1:8" ht="12.75">
      <c r="A111" s="158"/>
      <c r="B111" s="15">
        <v>36798</v>
      </c>
      <c r="C111" s="157">
        <v>0.63</v>
      </c>
      <c r="D111" s="157"/>
      <c r="E111" s="157">
        <v>0.2</v>
      </c>
      <c r="F111" s="157">
        <v>0.15</v>
      </c>
      <c r="H111" s="151"/>
    </row>
    <row r="112" spans="1:8" ht="12.75">
      <c r="A112" s="158"/>
      <c r="B112" s="15">
        <v>36815</v>
      </c>
      <c r="C112" s="157">
        <v>0.65</v>
      </c>
      <c r="D112" s="157"/>
      <c r="E112" s="157">
        <v>0.2</v>
      </c>
      <c r="F112" s="157">
        <v>0.15</v>
      </c>
      <c r="H112" s="151"/>
    </row>
    <row r="113" spans="1:8" ht="12.75">
      <c r="A113" s="158"/>
      <c r="B113" s="15">
        <v>36830</v>
      </c>
      <c r="C113" s="157">
        <v>0.83</v>
      </c>
      <c r="D113" s="157"/>
      <c r="E113" s="157">
        <v>0.17</v>
      </c>
      <c r="F113" s="157">
        <v>0.15</v>
      </c>
      <c r="H113" s="151"/>
    </row>
    <row r="114" spans="1:8" ht="12.75">
      <c r="A114" s="158"/>
      <c r="B114" s="15">
        <v>36845</v>
      </c>
      <c r="C114" s="157">
        <v>0.86</v>
      </c>
      <c r="D114" s="157"/>
      <c r="E114" s="157">
        <v>0.14</v>
      </c>
      <c r="F114" s="157">
        <v>0.14</v>
      </c>
      <c r="H114" s="151"/>
    </row>
    <row r="115" spans="1:8" ht="13.5" thickBot="1">
      <c r="A115" s="148"/>
      <c r="B115" s="11">
        <v>36875</v>
      </c>
      <c r="C115" s="146">
        <v>0.95</v>
      </c>
      <c r="D115" s="146"/>
      <c r="E115" s="146">
        <v>0.05</v>
      </c>
      <c r="F115" s="146">
        <v>0.05</v>
      </c>
      <c r="G115" s="323"/>
      <c r="H115" s="121"/>
    </row>
    <row r="116" spans="1:8" ht="12.75">
      <c r="A116" s="14" t="s">
        <v>3</v>
      </c>
      <c r="B116" s="15">
        <v>37088</v>
      </c>
      <c r="C116" s="157">
        <v>0.17</v>
      </c>
      <c r="D116" s="157"/>
      <c r="E116" s="157">
        <v>0.35</v>
      </c>
      <c r="F116" s="157">
        <v>0.2</v>
      </c>
      <c r="H116" s="120" t="s">
        <v>4</v>
      </c>
    </row>
    <row r="117" spans="1:8" ht="12.75">
      <c r="A117" s="193"/>
      <c r="B117" s="200">
        <v>37117</v>
      </c>
      <c r="C117" s="157">
        <v>0.19</v>
      </c>
      <c r="D117" s="157"/>
      <c r="E117" s="157">
        <v>0.35</v>
      </c>
      <c r="F117" s="157">
        <v>0.2</v>
      </c>
      <c r="H117" s="151"/>
    </row>
    <row r="118" spans="1:8" ht="12.75">
      <c r="A118" s="193"/>
      <c r="B118" s="202">
        <v>37151</v>
      </c>
      <c r="C118" s="157">
        <v>0.3</v>
      </c>
      <c r="D118" s="157"/>
      <c r="E118" s="157">
        <v>0.35</v>
      </c>
      <c r="F118" s="157">
        <v>0.2</v>
      </c>
      <c r="H118" s="151"/>
    </row>
    <row r="119" spans="1:8" ht="12.75">
      <c r="A119" s="193"/>
      <c r="B119" s="15">
        <v>37165</v>
      </c>
      <c r="C119" s="201">
        <v>0.36</v>
      </c>
      <c r="D119" s="157"/>
      <c r="E119" s="157">
        <v>0.35</v>
      </c>
      <c r="F119" s="157">
        <v>0.2</v>
      </c>
      <c r="H119" s="151"/>
    </row>
    <row r="120" spans="1:8" ht="12.75">
      <c r="A120" s="193"/>
      <c r="B120" s="15">
        <v>37179</v>
      </c>
      <c r="C120" s="201">
        <v>0.43</v>
      </c>
      <c r="D120" s="157"/>
      <c r="E120" s="157">
        <v>0.35</v>
      </c>
      <c r="F120" s="157">
        <v>0.2</v>
      </c>
      <c r="H120" s="151"/>
    </row>
    <row r="121" spans="1:8" ht="12.75">
      <c r="A121" s="193"/>
      <c r="B121" s="15">
        <v>37193</v>
      </c>
      <c r="C121" s="201">
        <v>0.65</v>
      </c>
      <c r="D121" s="157"/>
      <c r="E121" s="157">
        <v>0.35</v>
      </c>
      <c r="F121" s="157">
        <v>0.2</v>
      </c>
      <c r="H121" s="151"/>
    </row>
    <row r="122" spans="1:8" ht="12.75">
      <c r="A122" s="193"/>
      <c r="B122" s="15">
        <v>37228</v>
      </c>
      <c r="C122" s="201">
        <v>0.77</v>
      </c>
      <c r="D122" s="157"/>
      <c r="E122" s="157">
        <v>0.35</v>
      </c>
      <c r="F122" s="157">
        <v>0.2</v>
      </c>
      <c r="H122" s="151"/>
    </row>
    <row r="123" spans="1:8" ht="12.75">
      <c r="A123" s="193"/>
      <c r="B123" s="15">
        <v>37241</v>
      </c>
      <c r="C123" s="201">
        <v>1</v>
      </c>
      <c r="D123" s="157"/>
      <c r="E123" s="157">
        <v>0</v>
      </c>
      <c r="F123" s="157">
        <v>0</v>
      </c>
      <c r="H123" s="151" t="s">
        <v>9</v>
      </c>
    </row>
    <row r="124" spans="1:8" ht="13.5" thickBot="1">
      <c r="A124" s="148"/>
      <c r="B124" s="11">
        <v>37302</v>
      </c>
      <c r="C124" s="146">
        <v>1.05</v>
      </c>
      <c r="D124" s="146"/>
      <c r="E124" s="146">
        <v>0</v>
      </c>
      <c r="F124" s="146">
        <v>0</v>
      </c>
      <c r="G124" s="323"/>
      <c r="H124" s="121"/>
    </row>
    <row r="125" spans="1:8" ht="12.75">
      <c r="A125" s="14" t="s">
        <v>10</v>
      </c>
      <c r="B125" s="15">
        <v>37452</v>
      </c>
      <c r="C125" s="157">
        <v>0.05</v>
      </c>
      <c r="D125" s="157"/>
      <c r="E125" s="157">
        <v>0.5</v>
      </c>
      <c r="F125" s="157">
        <v>0.12</v>
      </c>
      <c r="H125" s="120"/>
    </row>
    <row r="126" spans="1:8" ht="12.75">
      <c r="A126" s="193"/>
      <c r="B126" s="200">
        <v>37483</v>
      </c>
      <c r="C126" s="157">
        <v>0.1</v>
      </c>
      <c r="D126" s="157"/>
      <c r="E126" s="157">
        <v>0.5</v>
      </c>
      <c r="F126" s="157">
        <v>0.12</v>
      </c>
      <c r="H126" s="151"/>
    </row>
    <row r="127" spans="1:8" ht="13.5" thickBot="1">
      <c r="A127" s="148"/>
      <c r="B127" s="11"/>
      <c r="C127" s="146"/>
      <c r="D127" s="146"/>
      <c r="E127" s="146"/>
      <c r="F127" s="146"/>
      <c r="G127" s="323"/>
      <c r="H127" s="121"/>
    </row>
    <row r="128" spans="1:8" ht="12.75">
      <c r="A128" s="14" t="s">
        <v>13</v>
      </c>
      <c r="B128" s="15">
        <v>37817</v>
      </c>
      <c r="C128" s="157">
        <v>0</v>
      </c>
      <c r="D128" s="157"/>
      <c r="E128" s="157">
        <v>0.5</v>
      </c>
      <c r="F128" s="157">
        <v>0.05</v>
      </c>
      <c r="H128" s="120"/>
    </row>
    <row r="129" spans="1:8" ht="12.75">
      <c r="A129" s="193"/>
      <c r="B129" s="200">
        <v>37865</v>
      </c>
      <c r="C129" s="157">
        <v>0.17</v>
      </c>
      <c r="D129" s="157"/>
      <c r="E129" s="157">
        <v>0.5</v>
      </c>
      <c r="F129" s="157">
        <v>0.05</v>
      </c>
      <c r="H129" s="151"/>
    </row>
    <row r="130" spans="1:8" ht="12.75">
      <c r="A130" s="193"/>
      <c r="B130" s="202">
        <v>37879</v>
      </c>
      <c r="C130" s="157">
        <v>0.26</v>
      </c>
      <c r="D130" s="157"/>
      <c r="E130" s="157">
        <v>0.5</v>
      </c>
      <c r="F130" s="157">
        <v>0.05</v>
      </c>
      <c r="H130" s="151"/>
    </row>
    <row r="131" spans="1:8" ht="12.75">
      <c r="A131" s="193"/>
      <c r="B131" s="202">
        <v>37886</v>
      </c>
      <c r="C131" s="157">
        <v>0.3</v>
      </c>
      <c r="D131" s="157"/>
      <c r="E131" s="157">
        <v>0.5</v>
      </c>
      <c r="F131" s="157">
        <v>0.05</v>
      </c>
      <c r="H131" s="151"/>
    </row>
    <row r="132" spans="1:8" ht="12.75">
      <c r="A132" s="193"/>
      <c r="B132" s="202">
        <v>37918</v>
      </c>
      <c r="C132" s="157">
        <v>0.37</v>
      </c>
      <c r="D132" s="157"/>
      <c r="E132" s="157">
        <v>0.5</v>
      </c>
      <c r="F132" s="157">
        <v>0.05</v>
      </c>
      <c r="H132" s="151"/>
    </row>
    <row r="133" spans="1:8" ht="12.75">
      <c r="A133" s="193"/>
      <c r="B133" s="202">
        <v>37929</v>
      </c>
      <c r="C133" s="157">
        <v>0.41</v>
      </c>
      <c r="D133" s="157"/>
      <c r="E133" s="157">
        <v>0.5</v>
      </c>
      <c r="F133" s="157">
        <v>0.05</v>
      </c>
      <c r="H133" s="151"/>
    </row>
    <row r="134" spans="1:8" ht="12.75">
      <c r="A134" s="193"/>
      <c r="B134" s="202">
        <v>37942</v>
      </c>
      <c r="C134" s="157">
        <v>0.5</v>
      </c>
      <c r="D134" s="157"/>
      <c r="E134" s="157">
        <v>0.5</v>
      </c>
      <c r="F134" s="157">
        <v>0.05</v>
      </c>
      <c r="H134" s="151"/>
    </row>
    <row r="135" spans="1:8" ht="13.5" thickBot="1">
      <c r="A135" s="148"/>
      <c r="B135" s="11">
        <v>37957</v>
      </c>
      <c r="C135" s="146">
        <v>0.55</v>
      </c>
      <c r="D135" s="146"/>
      <c r="E135" s="146">
        <v>0.5</v>
      </c>
      <c r="F135" s="146">
        <v>0.05</v>
      </c>
      <c r="G135" s="323"/>
      <c r="H135" s="121"/>
    </row>
    <row r="136" spans="1:8" ht="15.75" customHeight="1" thickBot="1">
      <c r="A136" s="180" t="s">
        <v>42</v>
      </c>
      <c r="B136" s="346" t="s">
        <v>61</v>
      </c>
      <c r="C136" s="342"/>
      <c r="D136" s="342"/>
      <c r="E136" s="342"/>
      <c r="F136" s="342"/>
      <c r="G136" s="342"/>
      <c r="H136" s="343"/>
    </row>
  </sheetData>
  <mergeCells count="24">
    <mergeCell ref="B136:H136"/>
    <mergeCell ref="E5:F5"/>
    <mergeCell ref="E8:F8"/>
    <mergeCell ref="E12:F12"/>
    <mergeCell ref="E16:F16"/>
    <mergeCell ref="E20:F20"/>
    <mergeCell ref="E24:F24"/>
    <mergeCell ref="E25:F25"/>
    <mergeCell ref="E27:F27"/>
    <mergeCell ref="E31:F31"/>
    <mergeCell ref="E36:F36"/>
    <mergeCell ref="E43:F43"/>
    <mergeCell ref="E49:F49"/>
    <mergeCell ref="E67:F67"/>
    <mergeCell ref="E71:F71"/>
    <mergeCell ref="E73:F73"/>
    <mergeCell ref="E54:F54"/>
    <mergeCell ref="E55:F55"/>
    <mergeCell ref="E60:F60"/>
    <mergeCell ref="E64:F64"/>
    <mergeCell ref="E78:F78"/>
    <mergeCell ref="E81:F81"/>
    <mergeCell ref="E74:F74"/>
    <mergeCell ref="E85:F85"/>
  </mergeCells>
  <printOptions/>
  <pageMargins left="0.75" right="0.75" top="0.9" bottom="0.82" header="0.5" footer="0.5"/>
  <pageSetup horizontalDpi="300" verticalDpi="300" orientation="landscape" paperSize="9" r:id="rId2"/>
  <headerFooter alignWithMargins="0">
    <oddHeader>&amp;LDate : &amp;D&amp;RFilename : g:\rivops\state\allocatn\&amp;F</oddHeader>
    <oddFooter>&amp;CPage &amp;P</oddFooter>
  </headerFooter>
  <drawing r:id="rId1"/>
</worksheet>
</file>

<file path=xl/worksheets/sheet17.xml><?xml version="1.0" encoding="utf-8"?>
<worksheet xmlns="http://schemas.openxmlformats.org/spreadsheetml/2006/main" xmlns:r="http://schemas.openxmlformats.org/officeDocument/2006/relationships">
  <dimension ref="A1:H91"/>
  <sheetViews>
    <sheetView showGridLines="0" workbookViewId="0" topLeftCell="A1">
      <pane ySplit="6" topLeftCell="BM7" activePane="bottomLeft" state="frozen"/>
      <selection pane="topLeft" activeCell="A1" sqref="A1"/>
      <selection pane="bottomLeft" activeCell="I7" sqref="I7"/>
    </sheetView>
  </sheetViews>
  <sheetFormatPr defaultColWidth="9.140625" defaultRowHeight="12.75"/>
  <cols>
    <col min="1" max="1" width="9.140625" style="27" customWidth="1"/>
    <col min="2" max="2" width="10.140625" style="5" customWidth="1"/>
    <col min="3" max="3" width="10.00390625" style="28" customWidth="1"/>
    <col min="4" max="4" width="11.00390625" style="28" customWidth="1"/>
    <col min="5" max="5" width="11.421875" style="5" customWidth="1"/>
    <col min="6" max="6" width="11.7109375" style="5" customWidth="1"/>
    <col min="7" max="7" width="12.8515625" style="5" customWidth="1"/>
    <col min="8" max="8" width="54.140625" style="5" customWidth="1"/>
    <col min="9" max="16384" width="9.140625" style="5" customWidth="1"/>
  </cols>
  <sheetData>
    <row r="1" spans="1:8" ht="24" customHeight="1" thickBot="1">
      <c r="A1" s="36" t="s">
        <v>184</v>
      </c>
      <c r="B1" s="2"/>
      <c r="C1" s="22"/>
      <c r="D1" s="22"/>
      <c r="E1" s="2"/>
      <c r="F1" s="2"/>
      <c r="G1" s="2"/>
      <c r="H1" s="3"/>
    </row>
    <row r="2" spans="1:8" ht="18" customHeight="1" thickBot="1">
      <c r="A2" s="29" t="s">
        <v>80</v>
      </c>
      <c r="B2" s="33"/>
      <c r="C2" s="34"/>
      <c r="D2" s="34"/>
      <c r="E2" s="33"/>
      <c r="F2" s="33"/>
      <c r="G2" s="33"/>
      <c r="H2" s="37" t="s">
        <v>81</v>
      </c>
    </row>
    <row r="3" spans="1:8" ht="66.75" customHeight="1" thickBot="1">
      <c r="A3" s="6"/>
      <c r="B3" s="2"/>
      <c r="C3" s="22"/>
      <c r="D3" s="22"/>
      <c r="E3" s="2"/>
      <c r="F3" s="2"/>
      <c r="G3" s="2"/>
      <c r="H3" s="3"/>
    </row>
    <row r="4" spans="1:8" ht="20.25" customHeight="1" thickBot="1">
      <c r="A4" s="30" t="s">
        <v>185</v>
      </c>
      <c r="B4" s="31"/>
      <c r="C4" s="32"/>
      <c r="D4" s="32"/>
      <c r="E4" s="31"/>
      <c r="F4" s="31"/>
      <c r="G4" s="31"/>
      <c r="H4" s="35"/>
    </row>
    <row r="5" spans="1:8" ht="26.25" customHeight="1">
      <c r="A5" s="39"/>
      <c r="B5" s="40" t="s">
        <v>83</v>
      </c>
      <c r="C5" s="41" t="s">
        <v>84</v>
      </c>
      <c r="D5" s="41" t="s">
        <v>85</v>
      </c>
      <c r="E5" s="51" t="s">
        <v>72</v>
      </c>
      <c r="F5" s="52"/>
      <c r="G5" s="42" t="s">
        <v>86</v>
      </c>
      <c r="H5" s="43"/>
    </row>
    <row r="6" spans="1:8" ht="23.25" customHeight="1" thickBot="1">
      <c r="A6" s="44" t="s">
        <v>87</v>
      </c>
      <c r="B6" s="45" t="s">
        <v>86</v>
      </c>
      <c r="C6" s="46" t="s">
        <v>86</v>
      </c>
      <c r="D6" s="46" t="s">
        <v>88</v>
      </c>
      <c r="E6" s="49" t="s">
        <v>214</v>
      </c>
      <c r="F6" s="50" t="s">
        <v>215</v>
      </c>
      <c r="G6" s="47" t="s">
        <v>89</v>
      </c>
      <c r="H6" s="48" t="s">
        <v>90</v>
      </c>
    </row>
    <row r="7" spans="1:8" ht="15.75" customHeight="1">
      <c r="A7" s="56" t="s">
        <v>141</v>
      </c>
      <c r="B7" s="57">
        <v>29448</v>
      </c>
      <c r="C7" s="58">
        <v>67</v>
      </c>
      <c r="D7" s="58">
        <v>0</v>
      </c>
      <c r="E7" s="59"/>
      <c r="F7" s="59"/>
      <c r="G7" s="60" t="s">
        <v>92</v>
      </c>
      <c r="H7" s="61" t="s">
        <v>186</v>
      </c>
    </row>
    <row r="8" spans="1:8" ht="15.75" customHeight="1">
      <c r="A8" s="62"/>
      <c r="B8" s="63">
        <v>29497</v>
      </c>
      <c r="C8" s="64">
        <v>85</v>
      </c>
      <c r="D8" s="64">
        <v>0</v>
      </c>
      <c r="E8" s="65"/>
      <c r="F8" s="65"/>
      <c r="G8" s="66" t="s">
        <v>92</v>
      </c>
      <c r="H8" s="67"/>
    </row>
    <row r="9" spans="1:8" ht="15.75" customHeight="1">
      <c r="A9" s="62"/>
      <c r="B9" s="63">
        <v>29531</v>
      </c>
      <c r="C9" s="64">
        <v>95</v>
      </c>
      <c r="D9" s="64">
        <v>0</v>
      </c>
      <c r="E9" s="65"/>
      <c r="F9" s="65"/>
      <c r="G9" s="66" t="s">
        <v>92</v>
      </c>
      <c r="H9" s="67"/>
    </row>
    <row r="10" spans="1:8" ht="15.75" customHeight="1" thickBot="1">
      <c r="A10" s="68"/>
      <c r="B10" s="69">
        <v>29579</v>
      </c>
      <c r="C10" s="70">
        <v>100</v>
      </c>
      <c r="D10" s="70">
        <v>0</v>
      </c>
      <c r="E10" s="71"/>
      <c r="F10" s="71"/>
      <c r="G10" s="72" t="s">
        <v>92</v>
      </c>
      <c r="H10" s="73"/>
    </row>
    <row r="11" spans="1:8" ht="27.75" customHeight="1" thickBot="1">
      <c r="A11" s="56" t="s">
        <v>91</v>
      </c>
      <c r="B11" s="57">
        <v>29768</v>
      </c>
      <c r="C11" s="119" t="s">
        <v>187</v>
      </c>
      <c r="D11" s="58">
        <v>0</v>
      </c>
      <c r="E11" s="59"/>
      <c r="F11" s="59"/>
      <c r="G11" s="60"/>
      <c r="H11" s="61" t="s">
        <v>188</v>
      </c>
    </row>
    <row r="12" spans="1:8" ht="15.75" customHeight="1" thickBot="1">
      <c r="A12" s="56" t="s">
        <v>93</v>
      </c>
      <c r="B12" s="57">
        <v>30195</v>
      </c>
      <c r="C12" s="58">
        <v>100</v>
      </c>
      <c r="D12" s="58">
        <v>0</v>
      </c>
      <c r="E12" s="59"/>
      <c r="F12" s="59"/>
      <c r="G12" s="60" t="s">
        <v>92</v>
      </c>
      <c r="H12" s="61" t="s">
        <v>186</v>
      </c>
    </row>
    <row r="13" spans="1:8" ht="15.75" customHeight="1">
      <c r="A13" s="56" t="s">
        <v>95</v>
      </c>
      <c r="B13" s="57">
        <v>30532</v>
      </c>
      <c r="C13" s="58">
        <v>40</v>
      </c>
      <c r="D13" s="58">
        <v>0</v>
      </c>
      <c r="E13" s="59"/>
      <c r="F13" s="59"/>
      <c r="G13" s="60" t="s">
        <v>92</v>
      </c>
      <c r="H13" s="61" t="s">
        <v>166</v>
      </c>
    </row>
    <row r="14" spans="1:8" ht="15.75" customHeight="1">
      <c r="A14" s="62"/>
      <c r="B14" s="63">
        <v>30551</v>
      </c>
      <c r="C14" s="64">
        <v>50</v>
      </c>
      <c r="D14" s="64">
        <v>0</v>
      </c>
      <c r="E14" s="65"/>
      <c r="F14" s="65"/>
      <c r="G14" s="66" t="s">
        <v>92</v>
      </c>
      <c r="H14" s="67"/>
    </row>
    <row r="15" spans="1:8" ht="15.75" customHeight="1">
      <c r="A15" s="62"/>
      <c r="B15" s="63">
        <v>30557</v>
      </c>
      <c r="C15" s="64">
        <v>65</v>
      </c>
      <c r="D15" s="64">
        <v>0</v>
      </c>
      <c r="E15" s="65"/>
      <c r="F15" s="65"/>
      <c r="G15" s="66" t="s">
        <v>92</v>
      </c>
      <c r="H15" s="67"/>
    </row>
    <row r="16" spans="1:8" ht="15.75" customHeight="1">
      <c r="A16" s="62"/>
      <c r="B16" s="63">
        <v>30573</v>
      </c>
      <c r="C16" s="64">
        <v>75</v>
      </c>
      <c r="D16" s="64">
        <v>0</v>
      </c>
      <c r="E16" s="65"/>
      <c r="F16" s="65"/>
      <c r="G16" s="66" t="s">
        <v>92</v>
      </c>
      <c r="H16" s="67"/>
    </row>
    <row r="17" spans="1:8" ht="15.75" customHeight="1">
      <c r="A17" s="62"/>
      <c r="B17" s="63">
        <v>30593</v>
      </c>
      <c r="C17" s="64">
        <v>80</v>
      </c>
      <c r="D17" s="64">
        <v>0</v>
      </c>
      <c r="E17" s="65"/>
      <c r="F17" s="65"/>
      <c r="G17" s="66" t="s">
        <v>92</v>
      </c>
      <c r="H17" s="67"/>
    </row>
    <row r="18" spans="1:8" ht="15.75" customHeight="1">
      <c r="A18" s="62"/>
      <c r="B18" s="63">
        <v>30603</v>
      </c>
      <c r="C18" s="64">
        <v>90</v>
      </c>
      <c r="D18" s="64">
        <v>0</v>
      </c>
      <c r="E18" s="65"/>
      <c r="F18" s="65"/>
      <c r="G18" s="66" t="s">
        <v>92</v>
      </c>
      <c r="H18" s="67"/>
    </row>
    <row r="19" spans="1:8" ht="15.75" customHeight="1">
      <c r="A19" s="62"/>
      <c r="B19" s="63">
        <v>30620</v>
      </c>
      <c r="C19" s="64">
        <v>100</v>
      </c>
      <c r="D19" s="64">
        <v>0</v>
      </c>
      <c r="E19" s="65"/>
      <c r="F19" s="65"/>
      <c r="G19" s="66" t="s">
        <v>92</v>
      </c>
      <c r="H19" s="67"/>
    </row>
    <row r="20" spans="1:8" ht="15.75" customHeight="1" thickBot="1">
      <c r="A20" s="68"/>
      <c r="B20" s="69">
        <v>30638</v>
      </c>
      <c r="C20" s="70">
        <v>120</v>
      </c>
      <c r="D20" s="70">
        <v>0</v>
      </c>
      <c r="E20" s="71"/>
      <c r="F20" s="71"/>
      <c r="G20" s="72" t="s">
        <v>92</v>
      </c>
      <c r="H20" s="73"/>
    </row>
    <row r="21" spans="1:8" ht="15.75" customHeight="1">
      <c r="A21" s="56" t="s">
        <v>96</v>
      </c>
      <c r="B21" s="57">
        <v>30866</v>
      </c>
      <c r="C21" s="58">
        <v>100</v>
      </c>
      <c r="D21" s="58">
        <v>0</v>
      </c>
      <c r="E21" s="59"/>
      <c r="F21" s="59"/>
      <c r="G21" s="60" t="s">
        <v>92</v>
      </c>
      <c r="H21" s="61"/>
    </row>
    <row r="22" spans="1:8" ht="15.75" customHeight="1" thickBot="1">
      <c r="A22" s="68"/>
      <c r="B22" s="69">
        <v>30950</v>
      </c>
      <c r="C22" s="70">
        <v>140</v>
      </c>
      <c r="D22" s="70">
        <v>0</v>
      </c>
      <c r="E22" s="71"/>
      <c r="F22" s="71"/>
      <c r="G22" s="72" t="s">
        <v>92</v>
      </c>
      <c r="H22" s="73"/>
    </row>
    <row r="23" spans="1:8" ht="15.75" customHeight="1">
      <c r="A23" s="56" t="s">
        <v>97</v>
      </c>
      <c r="B23" s="57">
        <v>31237</v>
      </c>
      <c r="C23" s="58">
        <v>100</v>
      </c>
      <c r="D23" s="58">
        <v>0</v>
      </c>
      <c r="E23" s="59"/>
      <c r="F23" s="59"/>
      <c r="G23" s="60" t="s">
        <v>92</v>
      </c>
      <c r="H23" s="61"/>
    </row>
    <row r="24" spans="1:8" ht="15.75" customHeight="1">
      <c r="A24" s="62"/>
      <c r="B24" s="63">
        <v>31275</v>
      </c>
      <c r="C24" s="64">
        <v>110</v>
      </c>
      <c r="D24" s="64">
        <v>0</v>
      </c>
      <c r="E24" s="65"/>
      <c r="F24" s="65"/>
      <c r="G24" s="66" t="s">
        <v>92</v>
      </c>
      <c r="H24" s="67"/>
    </row>
    <row r="25" spans="1:8" ht="15.75" customHeight="1" thickBot="1">
      <c r="A25" s="68"/>
      <c r="B25" s="69">
        <v>31281</v>
      </c>
      <c r="C25" s="70">
        <v>120</v>
      </c>
      <c r="D25" s="70">
        <v>0</v>
      </c>
      <c r="E25" s="71"/>
      <c r="F25" s="71"/>
      <c r="G25" s="72" t="s">
        <v>92</v>
      </c>
      <c r="H25" s="73"/>
    </row>
    <row r="26" spans="1:8" ht="15.75" customHeight="1">
      <c r="A26" s="56" t="s">
        <v>98</v>
      </c>
      <c r="B26" s="57">
        <v>31603</v>
      </c>
      <c r="C26" s="58">
        <v>100</v>
      </c>
      <c r="D26" s="58">
        <v>0</v>
      </c>
      <c r="E26" s="59"/>
      <c r="F26" s="59"/>
      <c r="G26" s="60" t="s">
        <v>92</v>
      </c>
      <c r="H26" s="61"/>
    </row>
    <row r="27" spans="1:8" ht="15.75" customHeight="1" thickBot="1">
      <c r="A27" s="68"/>
      <c r="B27" s="69">
        <v>31679</v>
      </c>
      <c r="C27" s="70">
        <v>120</v>
      </c>
      <c r="D27" s="70">
        <v>0</v>
      </c>
      <c r="E27" s="71"/>
      <c r="F27" s="71"/>
      <c r="G27" s="72" t="s">
        <v>92</v>
      </c>
      <c r="H27" s="73"/>
    </row>
    <row r="28" spans="1:8" ht="15.75" customHeight="1">
      <c r="A28" s="56" t="s">
        <v>99</v>
      </c>
      <c r="B28" s="57">
        <v>31971</v>
      </c>
      <c r="C28" s="58">
        <v>100</v>
      </c>
      <c r="D28" s="58">
        <v>0</v>
      </c>
      <c r="E28" s="59"/>
      <c r="F28" s="59"/>
      <c r="G28" s="60" t="s">
        <v>92</v>
      </c>
      <c r="H28" s="61"/>
    </row>
    <row r="29" spans="1:8" ht="15.75" customHeight="1">
      <c r="A29" s="62"/>
      <c r="B29" s="63">
        <v>32031</v>
      </c>
      <c r="C29" s="64">
        <v>120</v>
      </c>
      <c r="D29" s="64">
        <v>0</v>
      </c>
      <c r="E29" s="65"/>
      <c r="F29" s="65"/>
      <c r="G29" s="66" t="s">
        <v>92</v>
      </c>
      <c r="H29" s="67"/>
    </row>
    <row r="30" spans="1:8" ht="15.75" customHeight="1" thickBot="1">
      <c r="A30" s="68"/>
      <c r="B30" s="69">
        <v>32159</v>
      </c>
      <c r="C30" s="70">
        <v>120</v>
      </c>
      <c r="D30" s="70">
        <v>20</v>
      </c>
      <c r="E30" s="71"/>
      <c r="F30" s="71"/>
      <c r="G30" s="72" t="s">
        <v>92</v>
      </c>
      <c r="H30" s="73"/>
    </row>
    <row r="31" spans="1:8" ht="15.75" customHeight="1" thickBot="1">
      <c r="A31" s="56" t="s">
        <v>100</v>
      </c>
      <c r="B31" s="57">
        <v>32343</v>
      </c>
      <c r="C31" s="58">
        <v>120</v>
      </c>
      <c r="D31" s="58">
        <v>0</v>
      </c>
      <c r="E31" s="59"/>
      <c r="F31" s="59"/>
      <c r="G31" s="60" t="s">
        <v>92</v>
      </c>
      <c r="H31" s="61"/>
    </row>
    <row r="32" spans="1:8" ht="15.75" customHeight="1" thickBot="1">
      <c r="A32" s="74" t="s">
        <v>101</v>
      </c>
      <c r="B32" s="75">
        <v>32721</v>
      </c>
      <c r="C32" s="76">
        <v>120</v>
      </c>
      <c r="D32" s="76">
        <v>0</v>
      </c>
      <c r="E32" s="77"/>
      <c r="F32" s="77"/>
      <c r="G32" s="78" t="s">
        <v>92</v>
      </c>
      <c r="H32" s="79"/>
    </row>
    <row r="33" spans="1:8" ht="15.75" customHeight="1">
      <c r="A33" s="56" t="s">
        <v>102</v>
      </c>
      <c r="B33" s="57">
        <v>33111</v>
      </c>
      <c r="C33" s="58">
        <v>120</v>
      </c>
      <c r="D33" s="58">
        <v>0</v>
      </c>
      <c r="E33" s="59"/>
      <c r="F33" s="59"/>
      <c r="G33" s="60" t="s">
        <v>92</v>
      </c>
      <c r="H33" s="61"/>
    </row>
    <row r="34" spans="1:8" ht="15.75" customHeight="1" thickBot="1">
      <c r="A34" s="68"/>
      <c r="B34" s="69">
        <v>33177</v>
      </c>
      <c r="C34" s="70">
        <v>120</v>
      </c>
      <c r="D34" s="70">
        <v>20</v>
      </c>
      <c r="E34" s="71"/>
      <c r="F34" s="71"/>
      <c r="G34" s="72" t="s">
        <v>92</v>
      </c>
      <c r="H34" s="73"/>
    </row>
    <row r="35" spans="1:8" ht="15.75" customHeight="1" thickBot="1">
      <c r="A35" s="74" t="s">
        <v>103</v>
      </c>
      <c r="B35" s="75">
        <v>33408</v>
      </c>
      <c r="C35" s="76">
        <v>120</v>
      </c>
      <c r="D35" s="76">
        <v>0</v>
      </c>
      <c r="E35" s="77"/>
      <c r="F35" s="77"/>
      <c r="G35" s="78" t="s">
        <v>104</v>
      </c>
      <c r="H35" s="79" t="s">
        <v>189</v>
      </c>
    </row>
    <row r="36" spans="1:8" ht="15.75" customHeight="1">
      <c r="A36" s="56" t="s">
        <v>105</v>
      </c>
      <c r="B36" s="57">
        <v>33792</v>
      </c>
      <c r="C36" s="58">
        <v>105</v>
      </c>
      <c r="D36" s="58">
        <v>0</v>
      </c>
      <c r="E36" s="59"/>
      <c r="F36" s="59"/>
      <c r="G36" s="60" t="s">
        <v>104</v>
      </c>
      <c r="H36" s="61"/>
    </row>
    <row r="37" spans="1:8" ht="15.75" customHeight="1">
      <c r="A37" s="62"/>
      <c r="B37" s="63">
        <v>33829</v>
      </c>
      <c r="C37" s="64">
        <v>110</v>
      </c>
      <c r="D37" s="64">
        <v>0</v>
      </c>
      <c r="E37" s="65"/>
      <c r="F37" s="65"/>
      <c r="G37" s="66" t="s">
        <v>104</v>
      </c>
      <c r="H37" s="67"/>
    </row>
    <row r="38" spans="1:8" ht="15.75" customHeight="1" thickBot="1">
      <c r="A38" s="68"/>
      <c r="B38" s="69">
        <v>33848</v>
      </c>
      <c r="C38" s="70">
        <v>120</v>
      </c>
      <c r="D38" s="70">
        <v>0</v>
      </c>
      <c r="E38" s="71"/>
      <c r="F38" s="71"/>
      <c r="G38" s="72" t="s">
        <v>104</v>
      </c>
      <c r="H38" s="73"/>
    </row>
    <row r="39" spans="1:8" ht="15.75" customHeight="1" thickBot="1">
      <c r="A39" s="74" t="s">
        <v>106</v>
      </c>
      <c r="B39" s="75">
        <v>34223</v>
      </c>
      <c r="C39" s="76">
        <v>120</v>
      </c>
      <c r="D39" s="76">
        <v>0</v>
      </c>
      <c r="E39" s="77"/>
      <c r="F39" s="77"/>
      <c r="G39" s="78" t="s">
        <v>104</v>
      </c>
      <c r="H39" s="79"/>
    </row>
    <row r="40" spans="1:8" ht="39" thickBot="1">
      <c r="A40" s="74" t="s">
        <v>108</v>
      </c>
      <c r="B40" s="75">
        <v>34583</v>
      </c>
      <c r="C40" s="76">
        <v>100</v>
      </c>
      <c r="D40" s="76">
        <v>20</v>
      </c>
      <c r="E40" s="77"/>
      <c r="F40" s="77"/>
      <c r="G40" s="78" t="s">
        <v>104</v>
      </c>
      <c r="H40" s="80" t="s">
        <v>190</v>
      </c>
    </row>
    <row r="41" spans="1:8" ht="15.75" customHeight="1">
      <c r="A41" s="56" t="s">
        <v>109</v>
      </c>
      <c r="B41" s="57">
        <v>34914</v>
      </c>
      <c r="C41" s="58">
        <v>100</v>
      </c>
      <c r="D41" s="58">
        <v>0</v>
      </c>
      <c r="E41" s="59"/>
      <c r="F41" s="59"/>
      <c r="G41" s="60" t="s">
        <v>104</v>
      </c>
      <c r="H41" s="61"/>
    </row>
    <row r="42" spans="1:8" ht="15.75" customHeight="1">
      <c r="A42" s="62"/>
      <c r="B42" s="63">
        <v>34957</v>
      </c>
      <c r="C42" s="64">
        <v>105</v>
      </c>
      <c r="D42" s="64">
        <v>0</v>
      </c>
      <c r="E42" s="65"/>
      <c r="F42" s="65"/>
      <c r="G42" s="66" t="s">
        <v>104</v>
      </c>
      <c r="H42" s="67"/>
    </row>
    <row r="43" spans="1:8" ht="15.75" customHeight="1">
      <c r="A43" s="62"/>
      <c r="B43" s="63">
        <v>35019</v>
      </c>
      <c r="C43" s="64">
        <v>105</v>
      </c>
      <c r="D43" s="64">
        <v>5</v>
      </c>
      <c r="E43" s="65"/>
      <c r="F43" s="65"/>
      <c r="G43" s="66" t="s">
        <v>104</v>
      </c>
      <c r="H43" s="67"/>
    </row>
    <row r="44" spans="1:8" ht="15.75" customHeight="1" thickBot="1">
      <c r="A44" s="68"/>
      <c r="B44" s="69">
        <v>35055</v>
      </c>
      <c r="C44" s="70">
        <v>105</v>
      </c>
      <c r="D44" s="70">
        <v>15</v>
      </c>
      <c r="E44" s="71"/>
      <c r="F44" s="71"/>
      <c r="G44" s="72" t="s">
        <v>104</v>
      </c>
      <c r="H44" s="73"/>
    </row>
    <row r="45" spans="1:8" ht="15.75" customHeight="1">
      <c r="A45" s="56" t="s">
        <v>110</v>
      </c>
      <c r="B45" s="57">
        <v>35269</v>
      </c>
      <c r="C45" s="106">
        <v>1</v>
      </c>
      <c r="D45" s="58"/>
      <c r="E45" s="59"/>
      <c r="F45" s="59"/>
      <c r="G45" s="60"/>
      <c r="H45" s="61"/>
    </row>
    <row r="46" spans="1:8" ht="15.75" customHeight="1" thickBot="1">
      <c r="A46" s="10"/>
      <c r="B46" s="11"/>
      <c r="C46" s="109"/>
      <c r="D46" s="25"/>
      <c r="E46" s="13"/>
      <c r="F46" s="13"/>
      <c r="G46" s="12"/>
      <c r="H46" s="4"/>
    </row>
    <row r="47" spans="1:8" ht="15.75" customHeight="1">
      <c r="A47" s="56" t="s">
        <v>112</v>
      </c>
      <c r="B47" s="57">
        <v>35647</v>
      </c>
      <c r="C47" s="106">
        <v>0.75</v>
      </c>
      <c r="D47" s="58"/>
      <c r="E47" s="59"/>
      <c r="F47" s="59"/>
      <c r="G47" s="60"/>
      <c r="H47" s="61"/>
    </row>
    <row r="48" spans="1:8" ht="15.75" customHeight="1">
      <c r="A48" s="62"/>
      <c r="B48" s="63">
        <v>35663</v>
      </c>
      <c r="C48" s="107">
        <v>0.8</v>
      </c>
      <c r="D48" s="64"/>
      <c r="E48" s="65"/>
      <c r="F48" s="65"/>
      <c r="G48" s="66"/>
      <c r="H48" s="67"/>
    </row>
    <row r="49" spans="1:8" ht="15.75" customHeight="1">
      <c r="A49" s="62"/>
      <c r="B49" s="63">
        <v>35682</v>
      </c>
      <c r="C49" s="108">
        <v>0.88</v>
      </c>
      <c r="D49" s="64"/>
      <c r="E49" s="65"/>
      <c r="F49" s="65"/>
      <c r="G49" s="66"/>
      <c r="H49" s="67"/>
    </row>
    <row r="50" spans="1:8" ht="15.75" customHeight="1" thickBot="1">
      <c r="A50" s="10"/>
      <c r="B50" s="11">
        <v>35704</v>
      </c>
      <c r="C50" s="109">
        <v>0.9</v>
      </c>
      <c r="D50" s="25"/>
      <c r="E50" s="13"/>
      <c r="F50" s="13"/>
      <c r="G50" s="12"/>
      <c r="H50" s="4"/>
    </row>
    <row r="51" spans="1:8" ht="12.75">
      <c r="A51" s="56" t="s">
        <v>113</v>
      </c>
      <c r="B51" s="57">
        <v>36003</v>
      </c>
      <c r="C51" s="106">
        <v>0.4</v>
      </c>
      <c r="D51" s="58"/>
      <c r="E51" s="59"/>
      <c r="F51" s="59"/>
      <c r="G51" s="60"/>
      <c r="H51" s="61" t="s">
        <v>191</v>
      </c>
    </row>
    <row r="52" spans="1:8" ht="12.75">
      <c r="A52" s="62"/>
      <c r="B52" s="63">
        <v>36018</v>
      </c>
      <c r="C52" s="107">
        <v>0.46</v>
      </c>
      <c r="D52" s="64"/>
      <c r="E52" s="65"/>
      <c r="F52" s="65"/>
      <c r="G52" s="66"/>
      <c r="H52" s="67"/>
    </row>
    <row r="53" spans="1:8" ht="12.75">
      <c r="A53" s="62"/>
      <c r="B53" s="63">
        <v>36027</v>
      </c>
      <c r="C53" s="122">
        <v>0.52</v>
      </c>
      <c r="D53" s="64"/>
      <c r="E53" s="65"/>
      <c r="F53" s="65"/>
      <c r="G53" s="66"/>
      <c r="H53" s="67"/>
    </row>
    <row r="54" spans="1:8" ht="12.75">
      <c r="A54" s="62"/>
      <c r="B54" s="63">
        <v>36034</v>
      </c>
      <c r="C54" s="108">
        <v>0.6</v>
      </c>
      <c r="D54" s="64"/>
      <c r="E54" s="65"/>
      <c r="F54" s="65"/>
      <c r="G54" s="66"/>
      <c r="H54" s="67"/>
    </row>
    <row r="55" spans="1:8" ht="12.75">
      <c r="A55" s="62"/>
      <c r="B55" s="1">
        <v>36055</v>
      </c>
      <c r="C55" s="129">
        <v>0.65</v>
      </c>
      <c r="D55" s="64"/>
      <c r="E55" s="65"/>
      <c r="F55" s="65"/>
      <c r="G55" s="66"/>
      <c r="H55" s="67"/>
    </row>
    <row r="56" spans="1:8" ht="12.75">
      <c r="A56" s="62"/>
      <c r="B56" s="1">
        <v>36066</v>
      </c>
      <c r="C56" s="129">
        <v>0.72</v>
      </c>
      <c r="D56" s="64"/>
      <c r="E56" s="65"/>
      <c r="F56" s="65"/>
      <c r="G56" s="66"/>
      <c r="H56" s="67"/>
    </row>
    <row r="57" spans="1:8" ht="12.75">
      <c r="A57" s="62"/>
      <c r="B57" s="1">
        <v>36080</v>
      </c>
      <c r="C57" s="129">
        <v>0.76</v>
      </c>
      <c r="D57" s="64"/>
      <c r="E57" s="65"/>
      <c r="F57" s="65"/>
      <c r="G57" s="66"/>
      <c r="H57" s="67"/>
    </row>
    <row r="58" spans="1:8" ht="12.75">
      <c r="A58" s="62"/>
      <c r="B58" s="1">
        <v>36119</v>
      </c>
      <c r="C58" s="129">
        <v>0.81</v>
      </c>
      <c r="D58" s="64"/>
      <c r="E58" s="65"/>
      <c r="F58" s="65"/>
      <c r="G58" s="66"/>
      <c r="H58" s="67"/>
    </row>
    <row r="59" spans="1:8" ht="13.5" thickBot="1">
      <c r="A59" s="10"/>
      <c r="B59" s="11">
        <v>36193</v>
      </c>
      <c r="C59" s="109">
        <v>0.85</v>
      </c>
      <c r="D59" s="25"/>
      <c r="E59" s="13"/>
      <c r="F59" s="13"/>
      <c r="G59" s="12"/>
      <c r="H59" s="4"/>
    </row>
    <row r="60" spans="1:8" ht="12.75">
      <c r="A60" s="56" t="s">
        <v>183</v>
      </c>
      <c r="B60" s="57">
        <v>36382</v>
      </c>
      <c r="C60" s="141">
        <v>0.5</v>
      </c>
      <c r="D60" s="58"/>
      <c r="E60" s="107">
        <v>0.1</v>
      </c>
      <c r="F60" s="59"/>
      <c r="G60" s="60"/>
      <c r="H60" s="61"/>
    </row>
    <row r="61" spans="1:8" ht="12.75">
      <c r="A61" s="62"/>
      <c r="B61" s="63">
        <v>36413</v>
      </c>
      <c r="C61" s="130">
        <v>0.53</v>
      </c>
      <c r="D61" s="64"/>
      <c r="E61" s="107">
        <v>0.1</v>
      </c>
      <c r="F61" s="65"/>
      <c r="G61" s="66"/>
      <c r="H61" s="67"/>
    </row>
    <row r="62" spans="1:8" ht="12.75">
      <c r="A62" s="62"/>
      <c r="B62" s="63">
        <v>36439</v>
      </c>
      <c r="C62" s="130">
        <v>0.6</v>
      </c>
      <c r="D62" s="64"/>
      <c r="E62" s="107">
        <v>0.1</v>
      </c>
      <c r="F62" s="65"/>
      <c r="G62" s="66"/>
      <c r="H62" s="67"/>
    </row>
    <row r="63" spans="1:8" ht="12.75">
      <c r="A63" s="62"/>
      <c r="B63" s="63">
        <v>36453</v>
      </c>
      <c r="C63" s="130">
        <v>0.65</v>
      </c>
      <c r="D63" s="64"/>
      <c r="E63" s="107">
        <v>0.1</v>
      </c>
      <c r="F63" s="65"/>
      <c r="G63" s="66"/>
      <c r="H63" s="67"/>
    </row>
    <row r="64" spans="1:8" ht="12.75">
      <c r="A64" s="62"/>
      <c r="B64" s="1">
        <v>36487</v>
      </c>
      <c r="C64" s="130">
        <v>0.67</v>
      </c>
      <c r="D64" s="64"/>
      <c r="E64" s="107">
        <v>0.1</v>
      </c>
      <c r="F64" s="65"/>
      <c r="G64" s="66"/>
      <c r="H64" s="67"/>
    </row>
    <row r="65" spans="1:8" ht="12.75">
      <c r="A65" s="62"/>
      <c r="B65" s="1">
        <v>36530</v>
      </c>
      <c r="C65" s="130">
        <v>0.73</v>
      </c>
      <c r="D65" s="64"/>
      <c r="E65" s="107">
        <v>0.1</v>
      </c>
      <c r="F65" s="65"/>
      <c r="G65" s="66"/>
      <c r="H65" s="67"/>
    </row>
    <row r="66" spans="1:8" ht="12.75">
      <c r="A66" s="62"/>
      <c r="B66" s="1">
        <v>36559</v>
      </c>
      <c r="C66" s="130">
        <v>0.78</v>
      </c>
      <c r="D66" s="64"/>
      <c r="E66" s="107">
        <v>0.1</v>
      </c>
      <c r="F66" s="65"/>
      <c r="G66" s="66"/>
      <c r="H66" s="67"/>
    </row>
    <row r="67" spans="1:8" ht="12.75">
      <c r="A67" s="62"/>
      <c r="B67" s="1"/>
      <c r="C67" s="130"/>
      <c r="D67" s="64"/>
      <c r="E67" s="65"/>
      <c r="F67" s="65"/>
      <c r="G67" s="66"/>
      <c r="H67" s="67"/>
    </row>
    <row r="68" spans="1:8" ht="13.5" thickBot="1">
      <c r="A68" s="10"/>
      <c r="B68" s="11"/>
      <c r="C68" s="146"/>
      <c r="D68" s="25"/>
      <c r="E68" s="13"/>
      <c r="F68" s="13"/>
      <c r="G68" s="12"/>
      <c r="H68" s="4"/>
    </row>
    <row r="69" spans="1:8" ht="12.75">
      <c r="A69" s="56" t="s">
        <v>234</v>
      </c>
      <c r="B69" s="57">
        <v>36724</v>
      </c>
      <c r="C69" s="141">
        <v>0.51</v>
      </c>
      <c r="D69" s="141"/>
      <c r="E69" s="141">
        <v>0.1</v>
      </c>
      <c r="F69" s="141">
        <v>0.09</v>
      </c>
      <c r="G69" s="60"/>
      <c r="H69" s="61"/>
    </row>
    <row r="70" spans="1:8" ht="12.75">
      <c r="A70" s="62"/>
      <c r="B70" s="63">
        <v>36759</v>
      </c>
      <c r="C70" s="130">
        <v>0.59</v>
      </c>
      <c r="D70" s="130"/>
      <c r="E70" s="130">
        <v>0.1</v>
      </c>
      <c r="F70" s="130">
        <v>0.09</v>
      </c>
      <c r="G70" s="66"/>
      <c r="H70" s="67"/>
    </row>
    <row r="71" spans="1:8" ht="12.75">
      <c r="A71" s="62"/>
      <c r="B71" s="63">
        <v>36774</v>
      </c>
      <c r="C71" s="161">
        <v>0.6</v>
      </c>
      <c r="D71" s="130"/>
      <c r="E71" s="130">
        <v>0.1</v>
      </c>
      <c r="F71" s="130">
        <v>0.09</v>
      </c>
      <c r="G71" s="66"/>
      <c r="H71" s="67"/>
    </row>
    <row r="72" spans="1:8" ht="12.75">
      <c r="A72" s="62"/>
      <c r="B72" s="63">
        <v>36797</v>
      </c>
      <c r="C72" s="161">
        <v>0.7</v>
      </c>
      <c r="D72" s="130"/>
      <c r="E72" s="130">
        <v>0.1</v>
      </c>
      <c r="F72" s="130">
        <v>0.09</v>
      </c>
      <c r="G72" s="66"/>
      <c r="H72" s="67"/>
    </row>
    <row r="73" spans="1:8" ht="12.75">
      <c r="A73" s="62"/>
      <c r="B73" s="63">
        <v>36822</v>
      </c>
      <c r="C73" s="161">
        <v>0.8</v>
      </c>
      <c r="D73" s="130"/>
      <c r="E73" s="130">
        <v>0.1</v>
      </c>
      <c r="F73" s="130">
        <v>0.09</v>
      </c>
      <c r="G73" s="66"/>
      <c r="H73" s="67"/>
    </row>
    <row r="74" spans="1:8" ht="12.75">
      <c r="A74" s="62"/>
      <c r="B74" s="63">
        <v>36858</v>
      </c>
      <c r="C74" s="161">
        <v>0.9</v>
      </c>
      <c r="D74" s="130"/>
      <c r="E74" s="130">
        <v>0.1</v>
      </c>
      <c r="F74" s="130">
        <v>0.09</v>
      </c>
      <c r="G74" s="66"/>
      <c r="H74" s="67"/>
    </row>
    <row r="75" spans="1:8" ht="13.5" thickBot="1">
      <c r="A75" s="10"/>
      <c r="B75" s="11"/>
      <c r="C75" s="162"/>
      <c r="D75" s="146"/>
      <c r="E75" s="146"/>
      <c r="F75" s="146"/>
      <c r="G75" s="12"/>
      <c r="H75" s="4"/>
    </row>
    <row r="76" spans="1:8" ht="12.75">
      <c r="A76" s="56" t="s">
        <v>3</v>
      </c>
      <c r="B76" s="57">
        <v>37113</v>
      </c>
      <c r="C76" s="141">
        <v>0.47</v>
      </c>
      <c r="D76" s="141"/>
      <c r="E76" s="141">
        <v>0.15</v>
      </c>
      <c r="F76" s="141">
        <v>0.14</v>
      </c>
      <c r="G76" s="60"/>
      <c r="H76" s="61"/>
    </row>
    <row r="77" spans="1:8" ht="12.75">
      <c r="A77" s="62"/>
      <c r="B77" s="63">
        <v>37140</v>
      </c>
      <c r="C77" s="161">
        <v>0.53</v>
      </c>
      <c r="D77" s="130"/>
      <c r="E77" s="130">
        <v>0.15</v>
      </c>
      <c r="F77" s="130">
        <v>0.14</v>
      </c>
      <c r="G77" s="66"/>
      <c r="H77" s="67"/>
    </row>
    <row r="78" spans="1:8" ht="12.75">
      <c r="A78" s="62"/>
      <c r="B78" s="63">
        <v>37165</v>
      </c>
      <c r="C78" s="161">
        <v>0.62</v>
      </c>
      <c r="D78" s="130"/>
      <c r="E78" s="130">
        <v>0.15</v>
      </c>
      <c r="F78" s="130">
        <v>0.14</v>
      </c>
      <c r="G78" s="66"/>
      <c r="H78" s="67"/>
    </row>
    <row r="79" spans="1:8" ht="12.75">
      <c r="A79" s="62"/>
      <c r="B79" s="63">
        <v>37203</v>
      </c>
      <c r="C79" s="161">
        <v>0.65</v>
      </c>
      <c r="D79" s="130"/>
      <c r="E79" s="130">
        <v>0.15</v>
      </c>
      <c r="F79" s="130">
        <v>0.14</v>
      </c>
      <c r="G79" s="66"/>
      <c r="H79" s="67"/>
    </row>
    <row r="80" spans="1:8" ht="13.5" thickBot="1">
      <c r="A80" s="10"/>
      <c r="B80" s="11">
        <v>37315</v>
      </c>
      <c r="C80" s="162">
        <v>0.72</v>
      </c>
      <c r="D80" s="146"/>
      <c r="E80" s="146">
        <v>0.15</v>
      </c>
      <c r="F80" s="146">
        <v>0.14</v>
      </c>
      <c r="G80" s="12"/>
      <c r="H80" s="4"/>
    </row>
    <row r="81" spans="1:8" ht="12.75">
      <c r="A81" s="56" t="s">
        <v>10</v>
      </c>
      <c r="B81" s="57">
        <v>37463</v>
      </c>
      <c r="C81" s="141">
        <v>0.34</v>
      </c>
      <c r="D81" s="141"/>
      <c r="E81" s="141">
        <v>0.15</v>
      </c>
      <c r="F81" s="141">
        <v>0.07</v>
      </c>
      <c r="G81" s="60"/>
      <c r="H81" s="61"/>
    </row>
    <row r="82" spans="1:8" ht="13.5" thickBot="1">
      <c r="A82" s="62"/>
      <c r="B82" s="63">
        <v>37476</v>
      </c>
      <c r="C82" s="161">
        <v>0.38</v>
      </c>
      <c r="D82" s="130"/>
      <c r="E82" s="130">
        <v>0.15</v>
      </c>
      <c r="F82" s="130">
        <v>0.07</v>
      </c>
      <c r="G82" s="66"/>
      <c r="H82" s="67"/>
    </row>
    <row r="83" spans="1:8" ht="25.5">
      <c r="A83" s="181" t="s">
        <v>13</v>
      </c>
      <c r="B83" s="57">
        <v>37805</v>
      </c>
      <c r="C83" s="263">
        <v>0.14</v>
      </c>
      <c r="D83" s="141"/>
      <c r="E83" s="141">
        <v>0.15</v>
      </c>
      <c r="F83" s="141">
        <v>0.04</v>
      </c>
      <c r="G83" s="60" t="s">
        <v>111</v>
      </c>
      <c r="H83" s="262" t="s">
        <v>32</v>
      </c>
    </row>
    <row r="84" spans="1:8" ht="25.5">
      <c r="A84" s="191"/>
      <c r="B84" s="63">
        <v>37848</v>
      </c>
      <c r="C84" s="264">
        <v>0.15</v>
      </c>
      <c r="D84" s="130"/>
      <c r="E84" s="130">
        <v>0.15</v>
      </c>
      <c r="F84" s="130">
        <v>0.04</v>
      </c>
      <c r="G84" s="66" t="s">
        <v>111</v>
      </c>
      <c r="H84" s="266" t="s">
        <v>35</v>
      </c>
    </row>
    <row r="85" spans="1:8" ht="25.5">
      <c r="A85" s="191"/>
      <c r="B85" s="63">
        <v>37853</v>
      </c>
      <c r="C85" s="264">
        <v>0.17</v>
      </c>
      <c r="D85" s="130"/>
      <c r="E85" s="130">
        <v>0.15</v>
      </c>
      <c r="F85" s="130">
        <v>0.04</v>
      </c>
      <c r="G85" s="66" t="s">
        <v>111</v>
      </c>
      <c r="H85" s="266" t="s">
        <v>34</v>
      </c>
    </row>
    <row r="86" spans="1:8" ht="25.5">
      <c r="A86" s="191"/>
      <c r="B86" s="63">
        <v>37862</v>
      </c>
      <c r="C86" s="264">
        <v>0.23</v>
      </c>
      <c r="D86" s="130"/>
      <c r="E86" s="130">
        <v>0.15</v>
      </c>
      <c r="F86" s="130">
        <v>0.04</v>
      </c>
      <c r="G86" s="66" t="s">
        <v>111</v>
      </c>
      <c r="H86" s="266" t="s">
        <v>36</v>
      </c>
    </row>
    <row r="87" spans="1:8" ht="25.5">
      <c r="A87" s="191"/>
      <c r="B87" s="63">
        <v>37903</v>
      </c>
      <c r="C87" s="264">
        <v>0.32</v>
      </c>
      <c r="D87" s="130"/>
      <c r="E87" s="130">
        <v>0.15</v>
      </c>
      <c r="F87" s="130">
        <v>0.04</v>
      </c>
      <c r="G87" s="66" t="s">
        <v>111</v>
      </c>
      <c r="H87" s="266" t="s">
        <v>33</v>
      </c>
    </row>
    <row r="88" spans="1:8" ht="27" customHeight="1">
      <c r="A88" s="191"/>
      <c r="B88" s="63">
        <v>37924</v>
      </c>
      <c r="C88" s="264">
        <v>0.36</v>
      </c>
      <c r="D88" s="130"/>
      <c r="E88" s="130">
        <v>0.15</v>
      </c>
      <c r="F88" s="130">
        <v>0.04</v>
      </c>
      <c r="G88" s="66" t="s">
        <v>111</v>
      </c>
      <c r="H88" s="266" t="s">
        <v>41</v>
      </c>
    </row>
    <row r="89" spans="1:8" ht="27" customHeight="1">
      <c r="A89" s="191"/>
      <c r="B89" s="63">
        <v>37956</v>
      </c>
      <c r="C89" s="264">
        <v>0.39</v>
      </c>
      <c r="D89" s="130"/>
      <c r="E89" s="130">
        <v>0.15</v>
      </c>
      <c r="F89" s="130">
        <v>0.04</v>
      </c>
      <c r="G89" s="66" t="s">
        <v>111</v>
      </c>
      <c r="H89" s="266" t="s">
        <v>41</v>
      </c>
    </row>
    <row r="90" spans="1:8" ht="26.25" thickBot="1">
      <c r="A90" s="148"/>
      <c r="B90" s="69">
        <v>38061</v>
      </c>
      <c r="C90" s="265">
        <v>0.41</v>
      </c>
      <c r="D90" s="143"/>
      <c r="E90" s="143">
        <v>0.15</v>
      </c>
      <c r="F90" s="143">
        <v>0.04</v>
      </c>
      <c r="G90" s="100" t="s">
        <v>111</v>
      </c>
      <c r="H90" s="274" t="s">
        <v>41</v>
      </c>
    </row>
    <row r="91" spans="1:8" ht="17.25" customHeight="1" thickBot="1">
      <c r="A91" s="347" t="s">
        <v>42</v>
      </c>
      <c r="B91" s="348" t="s">
        <v>62</v>
      </c>
      <c r="C91" s="342"/>
      <c r="D91" s="342"/>
      <c r="E91" s="342"/>
      <c r="F91" s="342"/>
      <c r="G91" s="342"/>
      <c r="H91" s="343"/>
    </row>
  </sheetData>
  <mergeCells count="1">
    <mergeCell ref="B91:H91"/>
  </mergeCells>
  <printOptions gridLines="1"/>
  <pageMargins left="0.75" right="0.75" top="0.9" bottom="0.57" header="0.5" footer="0.34"/>
  <pageSetup horizontalDpi="300" verticalDpi="300" orientation="landscape" paperSize="9" r:id="rId2"/>
  <headerFooter alignWithMargins="0">
    <oddHeader>&amp;LReport Date : &amp;D&amp;RFilename : G:\RIVOPS\STATE\ALLOCATN\&amp;F</oddHeader>
    <oddFooter>&amp;CPage &amp;P</oddFooter>
  </headerFooter>
  <rowBreaks count="1" manualBreakCount="1">
    <brk id="50" max="65535" man="1"/>
  </rowBreaks>
  <drawing r:id="rId1"/>
</worksheet>
</file>

<file path=xl/worksheets/sheet18.xml><?xml version="1.0" encoding="utf-8"?>
<worksheet xmlns="http://schemas.openxmlformats.org/spreadsheetml/2006/main" xmlns:r="http://schemas.openxmlformats.org/officeDocument/2006/relationships">
  <dimension ref="A1:H461"/>
  <sheetViews>
    <sheetView showGridLines="0" workbookViewId="0" topLeftCell="A1">
      <selection activeCell="I5" sqref="I5"/>
    </sheetView>
  </sheetViews>
  <sheetFormatPr defaultColWidth="9.140625" defaultRowHeight="12.75"/>
  <cols>
    <col min="1" max="1" width="9.8515625" style="14" customWidth="1"/>
    <col min="2" max="2" width="10.140625" style="17" customWidth="1"/>
    <col min="3" max="3" width="10.00390625" style="24" customWidth="1"/>
    <col min="4" max="4" width="11.00390625" style="24" customWidth="1"/>
    <col min="5" max="5" width="11.421875" style="24" customWidth="1"/>
    <col min="6" max="6" width="11.7109375" style="17" customWidth="1"/>
    <col min="7" max="7" width="15.28125" style="17" bestFit="1" customWidth="1"/>
    <col min="8" max="8" width="54.140625" style="0" customWidth="1"/>
  </cols>
  <sheetData>
    <row r="1" spans="1:8" ht="24" customHeight="1" thickBot="1">
      <c r="A1" s="36" t="s">
        <v>199</v>
      </c>
      <c r="B1" s="2"/>
      <c r="C1" s="22"/>
      <c r="D1" s="22"/>
      <c r="E1" s="22"/>
      <c r="F1" s="2"/>
      <c r="G1" s="2"/>
      <c r="H1" s="3"/>
    </row>
    <row r="2" spans="1:8" ht="15.75" customHeight="1" thickBot="1">
      <c r="A2" s="29" t="s">
        <v>80</v>
      </c>
      <c r="B2" s="33"/>
      <c r="C2" s="34"/>
      <c r="D2" s="34"/>
      <c r="E2" s="34"/>
      <c r="F2" s="33"/>
      <c r="G2" s="33"/>
      <c r="H2" s="38" t="s">
        <v>81</v>
      </c>
    </row>
    <row r="3" spans="1:8" ht="54" customHeight="1" thickBot="1">
      <c r="A3" s="6"/>
      <c r="B3" s="2"/>
      <c r="C3" s="22"/>
      <c r="D3" s="22"/>
      <c r="E3" s="22"/>
      <c r="F3" s="2"/>
      <c r="G3" s="2"/>
      <c r="H3" s="3"/>
    </row>
    <row r="4" spans="1:8" ht="15.75" customHeight="1" thickBot="1">
      <c r="A4" s="29" t="s">
        <v>200</v>
      </c>
      <c r="B4" s="33"/>
      <c r="C4" s="34"/>
      <c r="D4" s="34"/>
      <c r="E4" s="34"/>
      <c r="F4" s="33"/>
      <c r="G4" s="33"/>
      <c r="H4" s="38"/>
    </row>
    <row r="5" spans="1:8" s="5" customFormat="1" ht="24">
      <c r="A5" s="39"/>
      <c r="B5" s="40" t="s">
        <v>83</v>
      </c>
      <c r="C5" s="41" t="s">
        <v>84</v>
      </c>
      <c r="D5" s="41" t="s">
        <v>85</v>
      </c>
      <c r="E5" s="51" t="s">
        <v>213</v>
      </c>
      <c r="F5" s="52"/>
      <c r="G5" s="42" t="s">
        <v>86</v>
      </c>
      <c r="H5" s="43"/>
    </row>
    <row r="6" spans="1:8" s="5" customFormat="1" ht="23.25" customHeight="1" thickBot="1">
      <c r="A6" s="44" t="s">
        <v>87</v>
      </c>
      <c r="B6" s="45" t="s">
        <v>86</v>
      </c>
      <c r="C6" s="46" t="s">
        <v>86</v>
      </c>
      <c r="D6" s="46" t="s">
        <v>88</v>
      </c>
      <c r="E6" s="49" t="s">
        <v>214</v>
      </c>
      <c r="F6" s="50" t="s">
        <v>215</v>
      </c>
      <c r="G6" s="47" t="s">
        <v>89</v>
      </c>
      <c r="H6" s="48" t="s">
        <v>90</v>
      </c>
    </row>
    <row r="7" spans="1:8" ht="15.75" customHeight="1">
      <c r="A7" s="56" t="s">
        <v>91</v>
      </c>
      <c r="B7" s="57">
        <v>29837</v>
      </c>
      <c r="C7" s="58">
        <v>100</v>
      </c>
      <c r="D7" s="58">
        <v>0</v>
      </c>
      <c r="E7" s="58"/>
      <c r="F7" s="59"/>
      <c r="G7" s="60" t="s">
        <v>92</v>
      </c>
      <c r="H7" s="61"/>
    </row>
    <row r="8" spans="1:8" ht="15.75" customHeight="1" thickBot="1">
      <c r="A8" s="68"/>
      <c r="B8" s="69">
        <v>29860</v>
      </c>
      <c r="C8" s="70">
        <v>120</v>
      </c>
      <c r="D8" s="70">
        <v>0</v>
      </c>
      <c r="E8" s="70"/>
      <c r="F8" s="71"/>
      <c r="G8" s="72" t="s">
        <v>92</v>
      </c>
      <c r="H8" s="73"/>
    </row>
    <row r="9" spans="1:8" ht="15.75" customHeight="1" thickBot="1">
      <c r="A9" s="56" t="s">
        <v>93</v>
      </c>
      <c r="B9" s="57">
        <v>30182</v>
      </c>
      <c r="C9" s="58">
        <v>120</v>
      </c>
      <c r="D9" s="58">
        <v>0</v>
      </c>
      <c r="E9" s="58"/>
      <c r="F9" s="59"/>
      <c r="G9" s="60" t="s">
        <v>92</v>
      </c>
      <c r="H9" s="61"/>
    </row>
    <row r="10" spans="1:8" ht="15.75" customHeight="1" thickBot="1">
      <c r="A10" s="56" t="s">
        <v>95</v>
      </c>
      <c r="B10" s="57">
        <v>30519</v>
      </c>
      <c r="C10" s="58">
        <v>100</v>
      </c>
      <c r="D10" s="58">
        <v>0</v>
      </c>
      <c r="E10" s="58"/>
      <c r="F10" s="59"/>
      <c r="G10" s="60" t="s">
        <v>92</v>
      </c>
      <c r="H10" s="61"/>
    </row>
    <row r="11" spans="1:8" ht="15.75" customHeight="1" thickBot="1">
      <c r="A11" s="56" t="s">
        <v>96</v>
      </c>
      <c r="B11" s="57">
        <v>30882</v>
      </c>
      <c r="C11" s="58">
        <v>100</v>
      </c>
      <c r="D11" s="58">
        <v>0</v>
      </c>
      <c r="E11" s="58"/>
      <c r="F11" s="59"/>
      <c r="G11" s="60" t="s">
        <v>92</v>
      </c>
      <c r="H11" s="61"/>
    </row>
    <row r="12" spans="1:8" ht="15.75" customHeight="1" thickBot="1">
      <c r="A12" s="74" t="s">
        <v>97</v>
      </c>
      <c r="B12" s="75">
        <v>31247</v>
      </c>
      <c r="C12" s="76">
        <v>100</v>
      </c>
      <c r="D12" s="76">
        <v>0</v>
      </c>
      <c r="E12" s="76"/>
      <c r="F12" s="77"/>
      <c r="G12" s="78" t="s">
        <v>92</v>
      </c>
      <c r="H12" s="79"/>
    </row>
    <row r="13" spans="1:8" ht="15.75" customHeight="1">
      <c r="A13" s="56" t="s">
        <v>98</v>
      </c>
      <c r="B13" s="57">
        <v>31623</v>
      </c>
      <c r="C13" s="58">
        <v>85</v>
      </c>
      <c r="D13" s="58">
        <v>0</v>
      </c>
      <c r="E13" s="58"/>
      <c r="F13" s="59"/>
      <c r="G13" s="60" t="s">
        <v>92</v>
      </c>
      <c r="H13" s="61"/>
    </row>
    <row r="14" spans="1:8" ht="15.75" customHeight="1" thickBot="1">
      <c r="A14" s="68"/>
      <c r="B14" s="69">
        <v>31650</v>
      </c>
      <c r="C14" s="70">
        <v>100</v>
      </c>
      <c r="D14" s="70">
        <v>0</v>
      </c>
      <c r="E14" s="70"/>
      <c r="F14" s="71"/>
      <c r="G14" s="72" t="s">
        <v>92</v>
      </c>
      <c r="H14" s="73"/>
    </row>
    <row r="15" spans="1:8" ht="15.75" customHeight="1" thickBot="1">
      <c r="A15" s="74" t="s">
        <v>99</v>
      </c>
      <c r="B15" s="75">
        <v>31982</v>
      </c>
      <c r="C15" s="76">
        <v>100</v>
      </c>
      <c r="D15" s="76">
        <v>0</v>
      </c>
      <c r="E15" s="76"/>
      <c r="F15" s="77"/>
      <c r="G15" s="78" t="s">
        <v>92</v>
      </c>
      <c r="H15" s="79"/>
    </row>
    <row r="16" spans="1:8" ht="15.75" customHeight="1" thickBot="1">
      <c r="A16" s="56" t="s">
        <v>100</v>
      </c>
      <c r="B16" s="57">
        <v>32351</v>
      </c>
      <c r="C16" s="58">
        <v>100</v>
      </c>
      <c r="D16" s="58">
        <v>0</v>
      </c>
      <c r="E16" s="58"/>
      <c r="F16" s="59"/>
      <c r="G16" s="60" t="s">
        <v>92</v>
      </c>
      <c r="H16" s="61"/>
    </row>
    <row r="17" spans="1:8" ht="15.75" customHeight="1" thickBot="1">
      <c r="A17" s="74" t="s">
        <v>101</v>
      </c>
      <c r="B17" s="75">
        <v>32702</v>
      </c>
      <c r="C17" s="76">
        <v>100</v>
      </c>
      <c r="D17" s="76">
        <v>0</v>
      </c>
      <c r="E17" s="76"/>
      <c r="F17" s="77"/>
      <c r="G17" s="78" t="s">
        <v>92</v>
      </c>
      <c r="H17" s="79"/>
    </row>
    <row r="18" spans="1:8" ht="15.75" customHeight="1" thickBot="1">
      <c r="A18" s="74" t="s">
        <v>102</v>
      </c>
      <c r="B18" s="75">
        <v>33073</v>
      </c>
      <c r="C18" s="76">
        <v>100</v>
      </c>
      <c r="D18" s="76">
        <v>0</v>
      </c>
      <c r="E18" s="76"/>
      <c r="F18" s="77"/>
      <c r="G18" s="78" t="s">
        <v>92</v>
      </c>
      <c r="H18" s="79"/>
    </row>
    <row r="19" spans="1:8" ht="15.75" customHeight="1" thickBot="1">
      <c r="A19" s="74" t="s">
        <v>103</v>
      </c>
      <c r="B19" s="75">
        <v>33458</v>
      </c>
      <c r="C19" s="76">
        <v>100</v>
      </c>
      <c r="D19" s="76">
        <v>0</v>
      </c>
      <c r="E19" s="76"/>
      <c r="F19" s="77"/>
      <c r="G19" s="78" t="s">
        <v>104</v>
      </c>
      <c r="H19" s="79"/>
    </row>
    <row r="20" spans="1:8" ht="15.75" customHeight="1">
      <c r="A20" s="56" t="s">
        <v>105</v>
      </c>
      <c r="B20" s="57">
        <v>33855</v>
      </c>
      <c r="C20" s="58">
        <v>100</v>
      </c>
      <c r="D20" s="58">
        <v>0</v>
      </c>
      <c r="E20" s="58"/>
      <c r="F20" s="59"/>
      <c r="G20" s="60" t="s">
        <v>104</v>
      </c>
      <c r="H20" s="61"/>
    </row>
    <row r="21" spans="1:8" ht="15.75" customHeight="1" thickBot="1">
      <c r="A21" s="68"/>
      <c r="B21" s="69">
        <v>33976</v>
      </c>
      <c r="C21" s="70">
        <v>120</v>
      </c>
      <c r="D21" s="70">
        <v>0</v>
      </c>
      <c r="E21" s="70"/>
      <c r="F21" s="71"/>
      <c r="G21" s="72" t="s">
        <v>104</v>
      </c>
      <c r="H21" s="73"/>
    </row>
    <row r="22" spans="1:8" ht="15.75" customHeight="1">
      <c r="A22" s="56" t="s">
        <v>106</v>
      </c>
      <c r="B22" s="57">
        <v>34235</v>
      </c>
      <c r="C22" s="58">
        <v>100</v>
      </c>
      <c r="D22" s="58">
        <v>0</v>
      </c>
      <c r="E22" s="58"/>
      <c r="F22" s="59"/>
      <c r="G22" s="60" t="s">
        <v>104</v>
      </c>
      <c r="H22" s="61"/>
    </row>
    <row r="23" spans="1:8" ht="15.75" customHeight="1" thickBot="1">
      <c r="A23" s="68"/>
      <c r="B23" s="69">
        <v>34348</v>
      </c>
      <c r="C23" s="70">
        <v>120</v>
      </c>
      <c r="D23" s="70">
        <v>0</v>
      </c>
      <c r="E23" s="70"/>
      <c r="F23" s="71"/>
      <c r="G23" s="72" t="s">
        <v>104</v>
      </c>
      <c r="H23" s="73"/>
    </row>
    <row r="24" spans="1:8" ht="15.75" customHeight="1">
      <c r="A24" s="56" t="s">
        <v>108</v>
      </c>
      <c r="B24" s="57"/>
      <c r="C24" s="58"/>
      <c r="D24" s="58"/>
      <c r="E24" s="58"/>
      <c r="F24" s="59"/>
      <c r="G24" s="60"/>
      <c r="H24" s="61"/>
    </row>
    <row r="25" spans="1:8" ht="15.75" customHeight="1" thickBot="1">
      <c r="A25" s="68"/>
      <c r="B25" s="69"/>
      <c r="C25" s="70"/>
      <c r="D25" s="70"/>
      <c r="E25" s="70"/>
      <c r="F25" s="71"/>
      <c r="G25" s="72"/>
      <c r="H25" s="73"/>
    </row>
    <row r="26" spans="1:8" ht="15.75" customHeight="1" thickBot="1">
      <c r="A26" s="74" t="s">
        <v>109</v>
      </c>
      <c r="B26" s="75"/>
      <c r="C26" s="76">
        <v>100</v>
      </c>
      <c r="D26" s="76">
        <v>0</v>
      </c>
      <c r="E26" s="76"/>
      <c r="F26" s="77"/>
      <c r="G26" s="78" t="s">
        <v>104</v>
      </c>
      <c r="H26" s="79"/>
    </row>
    <row r="27" spans="1:8" s="5" customFormat="1" ht="13.5" thickBot="1">
      <c r="A27" s="74" t="s">
        <v>110</v>
      </c>
      <c r="B27" s="75">
        <v>35578</v>
      </c>
      <c r="C27" s="76">
        <v>100</v>
      </c>
      <c r="D27" s="76">
        <v>0</v>
      </c>
      <c r="E27" s="76"/>
      <c r="F27" s="77"/>
      <c r="G27" s="78" t="s">
        <v>104</v>
      </c>
      <c r="H27" s="79"/>
    </row>
    <row r="28" spans="1:8" s="5" customFormat="1" ht="13.5" thickBot="1">
      <c r="A28" s="74" t="s">
        <v>112</v>
      </c>
      <c r="B28" s="11">
        <v>35905</v>
      </c>
      <c r="C28" s="25">
        <v>100</v>
      </c>
      <c r="D28" s="25">
        <v>0</v>
      </c>
      <c r="E28" s="25"/>
      <c r="F28" s="13"/>
      <c r="G28" s="78"/>
      <c r="H28" s="79"/>
    </row>
    <row r="29" spans="1:8" ht="26.25" thickBot="1">
      <c r="A29" s="74" t="s">
        <v>113</v>
      </c>
      <c r="B29" s="75"/>
      <c r="C29" s="76">
        <v>100</v>
      </c>
      <c r="D29" s="76"/>
      <c r="E29" s="76"/>
      <c r="F29" s="77"/>
      <c r="G29" s="78"/>
      <c r="H29" s="80" t="s">
        <v>244</v>
      </c>
    </row>
    <row r="30" spans="1:8" ht="26.25" thickBot="1">
      <c r="A30" s="74" t="s">
        <v>183</v>
      </c>
      <c r="B30" s="75"/>
      <c r="C30" s="76">
        <v>100</v>
      </c>
      <c r="D30" s="76"/>
      <c r="E30" s="76"/>
      <c r="F30" s="77"/>
      <c r="G30" s="78"/>
      <c r="H30" s="80" t="s">
        <v>244</v>
      </c>
    </row>
    <row r="31" spans="1:8" ht="13.5" thickBot="1">
      <c r="A31" s="147" t="s">
        <v>234</v>
      </c>
      <c r="B31" s="7">
        <v>36839</v>
      </c>
      <c r="C31" s="159">
        <v>1</v>
      </c>
      <c r="D31" s="159"/>
      <c r="E31" s="159"/>
      <c r="F31" s="159"/>
      <c r="G31" s="9"/>
      <c r="H31" s="120"/>
    </row>
    <row r="32" spans="1:8" ht="13.5" thickBot="1">
      <c r="A32" s="147" t="s">
        <v>3</v>
      </c>
      <c r="B32" s="7">
        <v>37117</v>
      </c>
      <c r="C32" s="159">
        <v>1</v>
      </c>
      <c r="D32" s="159"/>
      <c r="E32" s="159"/>
      <c r="F32" s="159"/>
      <c r="G32" s="9"/>
      <c r="H32" s="120"/>
    </row>
    <row r="33" spans="1:8" ht="13.5" thickBot="1">
      <c r="A33" s="147" t="s">
        <v>10</v>
      </c>
      <c r="B33" s="7">
        <v>37468</v>
      </c>
      <c r="C33" s="159">
        <v>1</v>
      </c>
      <c r="D33" s="159"/>
      <c r="E33" s="159"/>
      <c r="F33" s="159"/>
      <c r="G33" s="9" t="s">
        <v>216</v>
      </c>
      <c r="H33" s="120"/>
    </row>
    <row r="34" spans="1:8" ht="13.5" thickBot="1">
      <c r="A34" s="127" t="s">
        <v>13</v>
      </c>
      <c r="B34" s="19">
        <v>37806</v>
      </c>
      <c r="C34" s="26">
        <v>100</v>
      </c>
      <c r="D34" s="26"/>
      <c r="E34" s="26"/>
      <c r="F34" s="21"/>
      <c r="G34" s="21" t="s">
        <v>216</v>
      </c>
      <c r="H34" s="128"/>
    </row>
    <row r="35" spans="1:8" ht="13.5" thickBot="1">
      <c r="A35" s="127" t="s">
        <v>42</v>
      </c>
      <c r="B35" s="19">
        <v>38169</v>
      </c>
      <c r="C35" s="26">
        <v>100</v>
      </c>
      <c r="D35" s="26"/>
      <c r="E35" s="26"/>
      <c r="F35" s="21"/>
      <c r="G35" s="21"/>
      <c r="H35" s="128"/>
    </row>
    <row r="36" spans="1:8" ht="13.5" thickBot="1">
      <c r="A36" s="127" t="s">
        <v>50</v>
      </c>
      <c r="B36" s="19">
        <v>38534</v>
      </c>
      <c r="C36" s="26">
        <v>100</v>
      </c>
      <c r="D36" s="26"/>
      <c r="E36" s="26">
        <v>10</v>
      </c>
      <c r="F36" s="26">
        <v>10</v>
      </c>
      <c r="G36" s="21" t="s">
        <v>52</v>
      </c>
      <c r="H36" s="128"/>
    </row>
    <row r="37" spans="1:8" ht="13.5" thickBot="1">
      <c r="A37" s="127" t="s">
        <v>50</v>
      </c>
      <c r="B37" s="19">
        <v>38534</v>
      </c>
      <c r="C37" s="26">
        <v>100</v>
      </c>
      <c r="D37" s="26"/>
      <c r="E37" s="26">
        <v>10</v>
      </c>
      <c r="F37" s="26">
        <v>10</v>
      </c>
      <c r="G37" s="21" t="s">
        <v>52</v>
      </c>
      <c r="H37" s="128"/>
    </row>
    <row r="38" spans="1:8" ht="13.5" thickBot="1">
      <c r="A38" s="127" t="s">
        <v>53</v>
      </c>
      <c r="B38" s="19">
        <v>38899</v>
      </c>
      <c r="C38" s="26">
        <v>100</v>
      </c>
      <c r="D38" s="26"/>
      <c r="E38" s="26">
        <v>10</v>
      </c>
      <c r="F38" s="26">
        <v>10</v>
      </c>
      <c r="G38" s="21" t="s">
        <v>52</v>
      </c>
      <c r="H38" s="128"/>
    </row>
    <row r="39" spans="1:8" ht="13.5" thickBot="1">
      <c r="A39" s="127" t="s">
        <v>70</v>
      </c>
      <c r="B39" s="345" t="s">
        <v>66</v>
      </c>
      <c r="C39" s="339"/>
      <c r="D39" s="339"/>
      <c r="E39" s="339"/>
      <c r="F39" s="339"/>
      <c r="G39" s="339"/>
      <c r="H39" s="337"/>
    </row>
    <row r="40" ht="12.75">
      <c r="H40" s="203"/>
    </row>
    <row r="41" ht="12.75">
      <c r="H41" s="203"/>
    </row>
    <row r="42" ht="12.75">
      <c r="H42" s="203"/>
    </row>
    <row r="43" ht="12.75">
      <c r="H43" s="203"/>
    </row>
    <row r="44" ht="12.75">
      <c r="H44" s="203"/>
    </row>
    <row r="45" ht="12.75">
      <c r="H45" s="203"/>
    </row>
    <row r="46" ht="12.75">
      <c r="H46" s="203"/>
    </row>
    <row r="47" ht="12.75">
      <c r="H47" s="203"/>
    </row>
    <row r="48" ht="12.75">
      <c r="H48" s="203"/>
    </row>
    <row r="49" ht="12.75">
      <c r="H49" s="203"/>
    </row>
    <row r="50" ht="12.75">
      <c r="H50" s="203"/>
    </row>
    <row r="51" ht="12.75">
      <c r="H51" s="203"/>
    </row>
    <row r="52" ht="12.75">
      <c r="H52" s="203"/>
    </row>
    <row r="53" ht="12.75">
      <c r="H53" s="203"/>
    </row>
    <row r="54" ht="12.75">
      <c r="H54" s="203"/>
    </row>
    <row r="55" ht="12.75">
      <c r="H55" s="203"/>
    </row>
    <row r="56" ht="12.75">
      <c r="H56" s="203"/>
    </row>
    <row r="57" ht="12.75">
      <c r="H57" s="203"/>
    </row>
    <row r="58" ht="12.75">
      <c r="H58" s="203"/>
    </row>
    <row r="59" ht="12.75">
      <c r="H59" s="203"/>
    </row>
    <row r="60" ht="12.75">
      <c r="H60" s="203"/>
    </row>
    <row r="61" ht="12.75">
      <c r="H61" s="203"/>
    </row>
    <row r="62" ht="12.75">
      <c r="H62" s="203"/>
    </row>
    <row r="63" ht="12.75">
      <c r="H63" s="203"/>
    </row>
    <row r="64" ht="12.75">
      <c r="H64" s="203"/>
    </row>
    <row r="65" ht="12.75">
      <c r="H65" s="203"/>
    </row>
    <row r="66" ht="12.75">
      <c r="H66" s="203"/>
    </row>
    <row r="67" ht="12.75">
      <c r="H67" s="203"/>
    </row>
    <row r="68" ht="12.75">
      <c r="H68" s="203"/>
    </row>
    <row r="69" ht="12.75">
      <c r="H69" s="203"/>
    </row>
    <row r="70" ht="12.75">
      <c r="H70" s="203"/>
    </row>
    <row r="71" ht="12.75">
      <c r="H71" s="203"/>
    </row>
    <row r="72" ht="12.75">
      <c r="H72" s="203"/>
    </row>
    <row r="73" ht="12.75">
      <c r="H73" s="203"/>
    </row>
    <row r="74" ht="12.75">
      <c r="H74" s="203"/>
    </row>
    <row r="75" ht="12.75">
      <c r="H75" s="203"/>
    </row>
    <row r="76" ht="12.75">
      <c r="H76" s="203"/>
    </row>
    <row r="77" ht="12.75">
      <c r="H77" s="203"/>
    </row>
    <row r="78" ht="12.75">
      <c r="H78" s="203"/>
    </row>
    <row r="79" ht="12.75">
      <c r="H79" s="203"/>
    </row>
    <row r="80" ht="12.75">
      <c r="H80" s="203"/>
    </row>
    <row r="81" ht="12.75">
      <c r="H81" s="203"/>
    </row>
    <row r="82" ht="12.75">
      <c r="H82" s="203"/>
    </row>
    <row r="83" ht="12.75">
      <c r="H83" s="203"/>
    </row>
    <row r="84" ht="12.75">
      <c r="H84" s="203"/>
    </row>
    <row r="85" ht="12.75">
      <c r="H85" s="203"/>
    </row>
    <row r="86" ht="12.75">
      <c r="H86" s="203"/>
    </row>
    <row r="87" ht="12.75">
      <c r="H87" s="203"/>
    </row>
    <row r="88" ht="12.75">
      <c r="H88" s="203"/>
    </row>
    <row r="89" ht="12.75">
      <c r="H89" s="203"/>
    </row>
    <row r="90" ht="12.75">
      <c r="H90" s="203"/>
    </row>
    <row r="91" ht="12.75">
      <c r="H91" s="203"/>
    </row>
    <row r="92" ht="12.75">
      <c r="H92" s="203"/>
    </row>
    <row r="93" ht="12.75">
      <c r="H93" s="203"/>
    </row>
    <row r="94" ht="12.75">
      <c r="H94" s="203"/>
    </row>
    <row r="95" ht="12.75">
      <c r="H95" s="203"/>
    </row>
    <row r="96" ht="12.75">
      <c r="H96" s="203"/>
    </row>
    <row r="97" ht="12.75">
      <c r="H97" s="203"/>
    </row>
    <row r="98" ht="12.75">
      <c r="H98" s="203"/>
    </row>
    <row r="99" ht="12.75">
      <c r="H99" s="203"/>
    </row>
    <row r="100" ht="12.75">
      <c r="H100" s="203"/>
    </row>
    <row r="101" ht="12.75">
      <c r="H101" s="203"/>
    </row>
    <row r="102" ht="12.75">
      <c r="H102" s="203"/>
    </row>
    <row r="103" ht="12.75">
      <c r="H103" s="203"/>
    </row>
    <row r="104" ht="12.75">
      <c r="H104" s="203"/>
    </row>
    <row r="105" ht="12.75">
      <c r="H105" s="203"/>
    </row>
    <row r="106" ht="12.75">
      <c r="H106" s="203"/>
    </row>
    <row r="107" ht="12.75">
      <c r="H107" s="203"/>
    </row>
    <row r="108" ht="12.75">
      <c r="H108" s="203"/>
    </row>
    <row r="109" ht="12.75">
      <c r="H109" s="203"/>
    </row>
    <row r="110" ht="12.75">
      <c r="H110" s="203"/>
    </row>
    <row r="111" ht="12.75">
      <c r="H111" s="203"/>
    </row>
    <row r="112" ht="12.75">
      <c r="H112" s="203"/>
    </row>
    <row r="113" ht="12.75">
      <c r="H113" s="203"/>
    </row>
    <row r="114" ht="12.75">
      <c r="H114" s="203"/>
    </row>
    <row r="115" ht="12.75">
      <c r="H115" s="203"/>
    </row>
    <row r="116" ht="12.75">
      <c r="H116" s="203"/>
    </row>
    <row r="117" ht="12.75">
      <c r="H117" s="203"/>
    </row>
    <row r="118" ht="12.75">
      <c r="H118" s="203"/>
    </row>
    <row r="119" ht="12.75">
      <c r="H119" s="203"/>
    </row>
    <row r="120" ht="12.75">
      <c r="H120" s="203"/>
    </row>
    <row r="121" ht="12.75">
      <c r="H121" s="203"/>
    </row>
    <row r="122" ht="12.75">
      <c r="H122" s="203"/>
    </row>
    <row r="123" ht="12.75">
      <c r="H123" s="203"/>
    </row>
    <row r="124" ht="12.75">
      <c r="H124" s="203"/>
    </row>
    <row r="125" ht="12.75">
      <c r="H125" s="203"/>
    </row>
    <row r="126" ht="12.75">
      <c r="H126" s="203"/>
    </row>
    <row r="127" ht="12.75">
      <c r="H127" s="203"/>
    </row>
    <row r="128" ht="12.75">
      <c r="H128" s="203"/>
    </row>
    <row r="129" ht="12.75">
      <c r="H129" s="203"/>
    </row>
    <row r="130" ht="12.75">
      <c r="H130" s="203"/>
    </row>
    <row r="131" ht="12.75">
      <c r="H131" s="203"/>
    </row>
    <row r="132" ht="12.75">
      <c r="H132" s="203"/>
    </row>
    <row r="133" ht="12.75">
      <c r="H133" s="203"/>
    </row>
    <row r="134" ht="12.75">
      <c r="H134" s="203"/>
    </row>
    <row r="135" ht="12.75">
      <c r="H135" s="203"/>
    </row>
    <row r="136" ht="12.75">
      <c r="H136" s="203"/>
    </row>
    <row r="137" ht="12.75">
      <c r="H137" s="203"/>
    </row>
    <row r="138" ht="12.75">
      <c r="H138" s="203"/>
    </row>
    <row r="139" ht="12.75">
      <c r="H139" s="203"/>
    </row>
    <row r="140" ht="12.75">
      <c r="H140" s="203"/>
    </row>
    <row r="141" ht="12.75">
      <c r="H141" s="203"/>
    </row>
    <row r="142" ht="12.75">
      <c r="H142" s="203"/>
    </row>
    <row r="143" ht="12.75">
      <c r="H143" s="203"/>
    </row>
    <row r="144" ht="12.75">
      <c r="H144" s="203"/>
    </row>
    <row r="145" ht="12.75">
      <c r="H145" s="203"/>
    </row>
    <row r="146" ht="12.75">
      <c r="H146" s="203"/>
    </row>
    <row r="147" ht="12.75">
      <c r="H147" s="203"/>
    </row>
    <row r="148" ht="12.75">
      <c r="H148" s="203"/>
    </row>
    <row r="149" ht="12.75">
      <c r="H149" s="203"/>
    </row>
    <row r="150" ht="12.75">
      <c r="H150" s="203"/>
    </row>
    <row r="151" ht="12.75">
      <c r="H151" s="203"/>
    </row>
    <row r="152" ht="12.75">
      <c r="H152" s="203"/>
    </row>
    <row r="153" ht="12.75">
      <c r="H153" s="203"/>
    </row>
    <row r="154" ht="12.75">
      <c r="H154" s="203"/>
    </row>
    <row r="155" ht="12.75">
      <c r="H155" s="203"/>
    </row>
    <row r="156" ht="12.75">
      <c r="H156" s="203"/>
    </row>
    <row r="157" ht="12.75">
      <c r="H157" s="203"/>
    </row>
    <row r="158" ht="12.75">
      <c r="H158" s="203"/>
    </row>
    <row r="159" ht="12.75">
      <c r="H159" s="203"/>
    </row>
    <row r="160" ht="12.75">
      <c r="H160" s="203"/>
    </row>
    <row r="161" ht="12.75">
      <c r="H161" s="203"/>
    </row>
    <row r="162" ht="12.75">
      <c r="H162" s="203"/>
    </row>
    <row r="163" ht="12.75">
      <c r="H163" s="203"/>
    </row>
    <row r="164" ht="12.75">
      <c r="H164" s="203"/>
    </row>
    <row r="165" ht="12.75">
      <c r="H165" s="203"/>
    </row>
    <row r="166" ht="12.75">
      <c r="H166" s="203"/>
    </row>
    <row r="167" ht="12.75">
      <c r="H167" s="203"/>
    </row>
    <row r="168" ht="12.75">
      <c r="H168" s="203"/>
    </row>
    <row r="169" ht="12.75">
      <c r="H169" s="203"/>
    </row>
    <row r="170" ht="12.75">
      <c r="H170" s="203"/>
    </row>
    <row r="171" ht="12.75">
      <c r="H171" s="203"/>
    </row>
    <row r="172" ht="12.75">
      <c r="H172" s="203"/>
    </row>
    <row r="173" ht="12.75">
      <c r="H173" s="203"/>
    </row>
    <row r="174" ht="12.75">
      <c r="H174" s="203"/>
    </row>
    <row r="175" ht="12.75">
      <c r="H175" s="203"/>
    </row>
    <row r="176" ht="12.75">
      <c r="H176" s="203"/>
    </row>
    <row r="177" ht="12.75">
      <c r="H177" s="203"/>
    </row>
    <row r="178" ht="12.75">
      <c r="H178" s="203"/>
    </row>
    <row r="179" ht="12.75">
      <c r="H179" s="203"/>
    </row>
    <row r="180" ht="12.75">
      <c r="H180" s="203"/>
    </row>
    <row r="181" ht="12.75">
      <c r="H181" s="203"/>
    </row>
    <row r="182" ht="12.75">
      <c r="H182" s="203"/>
    </row>
    <row r="183" ht="12.75">
      <c r="H183" s="203"/>
    </row>
    <row r="184" ht="12.75">
      <c r="H184" s="203"/>
    </row>
    <row r="185" ht="12.75">
      <c r="H185" s="203"/>
    </row>
    <row r="186" ht="12.75">
      <c r="H186" s="203"/>
    </row>
    <row r="187" ht="12.75">
      <c r="H187" s="203"/>
    </row>
    <row r="188" ht="12.75">
      <c r="H188" s="203"/>
    </row>
    <row r="189" ht="12.75">
      <c r="H189" s="203"/>
    </row>
    <row r="190" ht="12.75">
      <c r="H190" s="203"/>
    </row>
    <row r="191" ht="12.75">
      <c r="H191" s="203"/>
    </row>
    <row r="192" ht="12.75">
      <c r="H192" s="203"/>
    </row>
    <row r="193" ht="12.75">
      <c r="H193" s="203"/>
    </row>
    <row r="194" ht="12.75">
      <c r="H194" s="203"/>
    </row>
    <row r="195" ht="12.75">
      <c r="H195" s="203"/>
    </row>
    <row r="196" ht="12.75">
      <c r="H196" s="203"/>
    </row>
    <row r="197" ht="12.75">
      <c r="H197" s="203"/>
    </row>
    <row r="198" ht="12.75">
      <c r="H198" s="203"/>
    </row>
    <row r="199" ht="12.75">
      <c r="H199" s="203"/>
    </row>
    <row r="200" ht="12.75">
      <c r="H200" s="203"/>
    </row>
    <row r="201" ht="12.75">
      <c r="H201" s="203"/>
    </row>
    <row r="202" ht="12.75">
      <c r="H202" s="203"/>
    </row>
    <row r="203" ht="12.75">
      <c r="H203" s="203"/>
    </row>
    <row r="204" ht="12.75">
      <c r="H204" s="203"/>
    </row>
    <row r="205" ht="12.75">
      <c r="H205" s="203"/>
    </row>
    <row r="206" ht="12.75">
      <c r="H206" s="203"/>
    </row>
    <row r="207" ht="12.75">
      <c r="H207" s="203"/>
    </row>
    <row r="208" ht="12.75">
      <c r="H208" s="203"/>
    </row>
    <row r="209" ht="12.75">
      <c r="H209" s="203"/>
    </row>
    <row r="210" ht="12.75">
      <c r="H210" s="203"/>
    </row>
    <row r="211" ht="12.75">
      <c r="H211" s="203"/>
    </row>
    <row r="212" ht="12.75">
      <c r="H212" s="203"/>
    </row>
    <row r="213" ht="12.75">
      <c r="H213" s="203"/>
    </row>
    <row r="214" ht="12.75">
      <c r="H214" s="203"/>
    </row>
    <row r="215" ht="12.75">
      <c r="H215" s="203"/>
    </row>
    <row r="216" ht="12.75">
      <c r="H216" s="203"/>
    </row>
    <row r="217" ht="12.75">
      <c r="H217" s="203"/>
    </row>
    <row r="218" ht="12.75">
      <c r="H218" s="203"/>
    </row>
    <row r="219" ht="12.75">
      <c r="H219" s="203"/>
    </row>
    <row r="220" ht="12.75">
      <c r="H220" s="203"/>
    </row>
    <row r="221" ht="12.75">
      <c r="H221" s="203"/>
    </row>
    <row r="222" ht="12.75">
      <c r="H222" s="203"/>
    </row>
    <row r="223" ht="12.75">
      <c r="H223" s="203"/>
    </row>
    <row r="224" ht="12.75">
      <c r="H224" s="203"/>
    </row>
    <row r="225" ht="12.75">
      <c r="H225" s="203"/>
    </row>
    <row r="226" ht="12.75">
      <c r="H226" s="203"/>
    </row>
    <row r="227" ht="12.75">
      <c r="H227" s="203"/>
    </row>
    <row r="228" ht="12.75">
      <c r="H228" s="203"/>
    </row>
    <row r="229" ht="12.75">
      <c r="H229" s="203"/>
    </row>
    <row r="230" ht="12.75">
      <c r="H230" s="203"/>
    </row>
    <row r="231" ht="12.75">
      <c r="H231" s="203"/>
    </row>
    <row r="232" ht="12.75">
      <c r="H232" s="203"/>
    </row>
    <row r="233" ht="12.75">
      <c r="H233" s="203"/>
    </row>
    <row r="234" ht="12.75">
      <c r="H234" s="203"/>
    </row>
    <row r="235" ht="12.75">
      <c r="H235" s="203"/>
    </row>
    <row r="236" ht="12.75">
      <c r="H236" s="203"/>
    </row>
    <row r="237" ht="12.75">
      <c r="H237" s="203"/>
    </row>
    <row r="238" ht="12.75">
      <c r="H238" s="203"/>
    </row>
    <row r="239" ht="12.75">
      <c r="H239" s="203"/>
    </row>
    <row r="240" ht="12.75">
      <c r="H240" s="203"/>
    </row>
    <row r="241" ht="12.75">
      <c r="H241" s="203"/>
    </row>
    <row r="242" ht="12.75">
      <c r="H242" s="203"/>
    </row>
    <row r="243" ht="12.75">
      <c r="H243" s="203"/>
    </row>
    <row r="244" ht="12.75">
      <c r="H244" s="203"/>
    </row>
    <row r="245" ht="12.75">
      <c r="H245" s="203"/>
    </row>
    <row r="246" ht="12.75">
      <c r="H246" s="203"/>
    </row>
    <row r="247" ht="12.75">
      <c r="H247" s="203"/>
    </row>
    <row r="248" ht="12.75">
      <c r="H248" s="203"/>
    </row>
    <row r="249" ht="12.75">
      <c r="H249" s="203"/>
    </row>
    <row r="250" ht="12.75">
      <c r="H250" s="203"/>
    </row>
    <row r="251" ht="12.75">
      <c r="H251" s="203"/>
    </row>
    <row r="252" ht="12.75">
      <c r="H252" s="203"/>
    </row>
    <row r="253" ht="12.75">
      <c r="H253" s="203"/>
    </row>
    <row r="254" ht="12.75">
      <c r="H254" s="203"/>
    </row>
    <row r="255" ht="12.75">
      <c r="H255" s="203"/>
    </row>
    <row r="256" ht="12.75">
      <c r="H256" s="203"/>
    </row>
    <row r="257" ht="12.75">
      <c r="H257" s="203"/>
    </row>
    <row r="258" ht="12.75">
      <c r="H258" s="203"/>
    </row>
    <row r="259" ht="12.75">
      <c r="H259" s="203"/>
    </row>
    <row r="260" ht="12.75">
      <c r="H260" s="203"/>
    </row>
    <row r="261" ht="12.75">
      <c r="H261" s="203"/>
    </row>
    <row r="262" ht="12.75">
      <c r="H262" s="203"/>
    </row>
    <row r="263" ht="12.75">
      <c r="H263" s="203"/>
    </row>
    <row r="264" ht="12.75">
      <c r="H264" s="203"/>
    </row>
    <row r="265" ht="12.75">
      <c r="H265" s="203"/>
    </row>
    <row r="266" ht="12.75">
      <c r="H266" s="203"/>
    </row>
    <row r="267" ht="12.75">
      <c r="H267" s="203"/>
    </row>
    <row r="268" ht="12.75">
      <c r="H268" s="203"/>
    </row>
    <row r="269" ht="12.75">
      <c r="H269" s="203"/>
    </row>
    <row r="270" ht="12.75">
      <c r="H270" s="203"/>
    </row>
    <row r="271" ht="12.75">
      <c r="H271" s="203"/>
    </row>
    <row r="272" ht="12.75">
      <c r="H272" s="203"/>
    </row>
    <row r="273" ht="12.75">
      <c r="H273" s="203"/>
    </row>
    <row r="274" ht="12.75">
      <c r="H274" s="203"/>
    </row>
    <row r="275" ht="12.75">
      <c r="H275" s="203"/>
    </row>
    <row r="276" ht="12.75">
      <c r="H276" s="203"/>
    </row>
    <row r="277" ht="12.75">
      <c r="H277" s="203"/>
    </row>
    <row r="278" ht="12.75">
      <c r="H278" s="203"/>
    </row>
    <row r="279" ht="12.75">
      <c r="H279" s="203"/>
    </row>
    <row r="280" ht="12.75">
      <c r="H280" s="203"/>
    </row>
    <row r="281" ht="12.75">
      <c r="H281" s="203"/>
    </row>
    <row r="282" ht="12.75">
      <c r="H282" s="203"/>
    </row>
    <row r="283" ht="12.75">
      <c r="H283" s="203"/>
    </row>
    <row r="284" ht="12.75">
      <c r="H284" s="203"/>
    </row>
    <row r="285" ht="12.75">
      <c r="H285" s="203"/>
    </row>
    <row r="286" ht="12.75">
      <c r="H286" s="203"/>
    </row>
    <row r="287" ht="12.75">
      <c r="H287" s="203"/>
    </row>
    <row r="288" ht="12.75">
      <c r="H288" s="203"/>
    </row>
    <row r="289" ht="12.75">
      <c r="H289" s="203"/>
    </row>
    <row r="290" ht="12.75">
      <c r="H290" s="203"/>
    </row>
    <row r="291" ht="12.75">
      <c r="H291" s="203"/>
    </row>
    <row r="292" ht="12.75">
      <c r="H292" s="203"/>
    </row>
    <row r="293" ht="12.75">
      <c r="H293" s="203"/>
    </row>
    <row r="294" ht="12.75">
      <c r="H294" s="203"/>
    </row>
    <row r="295" ht="12.75">
      <c r="H295" s="203"/>
    </row>
    <row r="296" ht="12.75">
      <c r="H296" s="203"/>
    </row>
    <row r="297" ht="12.75">
      <c r="H297" s="203"/>
    </row>
    <row r="298" ht="12.75">
      <c r="H298" s="203"/>
    </row>
    <row r="299" ht="12.75">
      <c r="H299" s="203"/>
    </row>
    <row r="300" ht="12.75">
      <c r="H300" s="203"/>
    </row>
    <row r="301" ht="12.75">
      <c r="H301" s="203"/>
    </row>
    <row r="302" ht="12.75">
      <c r="H302" s="203"/>
    </row>
    <row r="303" ht="12.75">
      <c r="H303" s="203"/>
    </row>
    <row r="304" ht="12.75">
      <c r="H304" s="203"/>
    </row>
    <row r="305" ht="12.75">
      <c r="H305" s="203"/>
    </row>
    <row r="306" ht="12.75">
      <c r="H306" s="203"/>
    </row>
    <row r="307" ht="12.75">
      <c r="H307" s="203"/>
    </row>
    <row r="308" ht="12.75">
      <c r="H308" s="203"/>
    </row>
    <row r="309" ht="12.75">
      <c r="H309" s="203"/>
    </row>
    <row r="310" ht="12.75">
      <c r="H310" s="203"/>
    </row>
    <row r="311" ht="12.75">
      <c r="H311" s="203"/>
    </row>
    <row r="312" ht="12.75">
      <c r="H312" s="203"/>
    </row>
    <row r="313" ht="12.75">
      <c r="H313" s="203"/>
    </row>
    <row r="314" ht="12.75">
      <c r="H314" s="203"/>
    </row>
    <row r="315" ht="12.75">
      <c r="H315" s="203"/>
    </row>
    <row r="316" ht="12.75">
      <c r="H316" s="203"/>
    </row>
    <row r="317" ht="12.75">
      <c r="H317" s="203"/>
    </row>
    <row r="318" ht="12.75">
      <c r="H318" s="203"/>
    </row>
    <row r="319" ht="12.75">
      <c r="H319" s="203"/>
    </row>
    <row r="320" ht="12.75">
      <c r="H320" s="203"/>
    </row>
    <row r="321" ht="12.75">
      <c r="H321" s="203"/>
    </row>
    <row r="322" ht="12.75">
      <c r="H322" s="203"/>
    </row>
    <row r="323" ht="12.75">
      <c r="H323" s="203"/>
    </row>
    <row r="324" ht="12.75">
      <c r="H324" s="203"/>
    </row>
    <row r="325" ht="12.75">
      <c r="H325" s="203"/>
    </row>
    <row r="326" ht="12.75">
      <c r="H326" s="203"/>
    </row>
    <row r="327" ht="12.75">
      <c r="H327" s="203"/>
    </row>
    <row r="328" ht="12.75">
      <c r="H328" s="203"/>
    </row>
    <row r="329" ht="12.75">
      <c r="H329" s="203"/>
    </row>
    <row r="330" ht="12.75">
      <c r="H330" s="203"/>
    </row>
    <row r="331" ht="12.75">
      <c r="H331" s="203"/>
    </row>
    <row r="332" ht="12.75">
      <c r="H332" s="203"/>
    </row>
    <row r="333" ht="12.75">
      <c r="H333" s="203"/>
    </row>
    <row r="334" ht="12.75">
      <c r="H334" s="203"/>
    </row>
    <row r="335" ht="12.75">
      <c r="H335" s="203"/>
    </row>
    <row r="336" ht="12.75">
      <c r="H336" s="203"/>
    </row>
    <row r="337" ht="12.75">
      <c r="H337" s="203"/>
    </row>
    <row r="338" ht="12.75">
      <c r="H338" s="203"/>
    </row>
    <row r="339" ht="12.75">
      <c r="H339" s="203"/>
    </row>
    <row r="340" ht="12.75">
      <c r="H340" s="203"/>
    </row>
    <row r="341" ht="12.75">
      <c r="H341" s="203"/>
    </row>
    <row r="342" ht="12.75">
      <c r="H342" s="203"/>
    </row>
    <row r="343" ht="12.75">
      <c r="H343" s="203"/>
    </row>
    <row r="344" ht="12.75">
      <c r="H344" s="203"/>
    </row>
    <row r="345" ht="12.75">
      <c r="H345" s="203"/>
    </row>
    <row r="346" ht="12.75">
      <c r="H346" s="203"/>
    </row>
    <row r="347" ht="12.75">
      <c r="H347" s="203"/>
    </row>
    <row r="348" ht="12.75">
      <c r="H348" s="203"/>
    </row>
    <row r="349" ht="12.75">
      <c r="H349" s="203"/>
    </row>
    <row r="350" ht="12.75">
      <c r="H350" s="203"/>
    </row>
    <row r="351" ht="12.75">
      <c r="H351" s="203"/>
    </row>
    <row r="352" ht="12.75">
      <c r="H352" s="203"/>
    </row>
    <row r="353" ht="12.75">
      <c r="H353" s="203"/>
    </row>
    <row r="354" ht="12.75">
      <c r="H354" s="203"/>
    </row>
    <row r="355" ht="12.75">
      <c r="H355" s="203"/>
    </row>
    <row r="356" ht="12.75">
      <c r="H356" s="203"/>
    </row>
    <row r="357" ht="12.75">
      <c r="H357" s="203"/>
    </row>
    <row r="358" ht="12.75">
      <c r="H358" s="203"/>
    </row>
    <row r="359" ht="12.75">
      <c r="H359" s="203"/>
    </row>
    <row r="360" ht="12.75">
      <c r="H360" s="203"/>
    </row>
    <row r="361" ht="12.75">
      <c r="H361" s="203"/>
    </row>
    <row r="362" ht="12.75">
      <c r="H362" s="203"/>
    </row>
    <row r="363" ht="12.75">
      <c r="H363" s="203"/>
    </row>
    <row r="364" ht="12.75">
      <c r="H364" s="203"/>
    </row>
    <row r="365" ht="12.75">
      <c r="H365" s="203"/>
    </row>
    <row r="366" ht="12.75">
      <c r="H366" s="203"/>
    </row>
    <row r="367" ht="12.75">
      <c r="H367" s="203"/>
    </row>
    <row r="368" ht="12.75">
      <c r="H368" s="203"/>
    </row>
    <row r="369" ht="12.75">
      <c r="H369" s="203"/>
    </row>
    <row r="370" ht="12.75">
      <c r="H370" s="203"/>
    </row>
    <row r="371" ht="12.75">
      <c r="H371" s="203"/>
    </row>
    <row r="372" ht="12.75">
      <c r="H372" s="203"/>
    </row>
    <row r="373" ht="12.75">
      <c r="H373" s="203"/>
    </row>
    <row r="374" ht="12.75">
      <c r="H374" s="203"/>
    </row>
    <row r="375" ht="12.75">
      <c r="H375" s="203"/>
    </row>
    <row r="376" ht="12.75">
      <c r="H376" s="203"/>
    </row>
    <row r="377" ht="12.75">
      <c r="H377" s="203"/>
    </row>
    <row r="378" ht="12.75">
      <c r="H378" s="203"/>
    </row>
    <row r="379" ht="12.75">
      <c r="H379" s="203"/>
    </row>
    <row r="380" ht="12.75">
      <c r="H380" s="203"/>
    </row>
    <row r="381" ht="12.75">
      <c r="H381" s="203"/>
    </row>
    <row r="382" ht="12.75">
      <c r="H382" s="203"/>
    </row>
    <row r="383" ht="12.75">
      <c r="H383" s="203"/>
    </row>
    <row r="384" ht="12.75">
      <c r="H384" s="203"/>
    </row>
    <row r="385" ht="12.75">
      <c r="H385" s="203"/>
    </row>
    <row r="386" ht="12.75">
      <c r="H386" s="203"/>
    </row>
    <row r="387" ht="12.75">
      <c r="H387" s="203"/>
    </row>
    <row r="388" ht="12.75">
      <c r="H388" s="203"/>
    </row>
    <row r="389" ht="12.75">
      <c r="H389" s="203"/>
    </row>
    <row r="390" ht="12.75">
      <c r="H390" s="203"/>
    </row>
    <row r="391" ht="12.75">
      <c r="H391" s="203"/>
    </row>
    <row r="392" ht="12.75">
      <c r="H392" s="203"/>
    </row>
    <row r="393" ht="12.75">
      <c r="H393" s="203"/>
    </row>
    <row r="394" ht="12.75">
      <c r="H394" s="203"/>
    </row>
    <row r="395" ht="12.75">
      <c r="H395" s="203"/>
    </row>
    <row r="396" ht="12.75">
      <c r="H396" s="203"/>
    </row>
    <row r="397" ht="12.75">
      <c r="H397" s="203"/>
    </row>
    <row r="398" ht="12.75">
      <c r="H398" s="203"/>
    </row>
    <row r="399" ht="12.75">
      <c r="H399" s="203"/>
    </row>
    <row r="400" ht="12.75">
      <c r="H400" s="203"/>
    </row>
    <row r="401" ht="12.75">
      <c r="H401" s="203"/>
    </row>
    <row r="402" ht="12.75">
      <c r="H402" s="203"/>
    </row>
    <row r="403" ht="12.75">
      <c r="H403" s="203"/>
    </row>
    <row r="404" ht="12.75">
      <c r="H404" s="203"/>
    </row>
    <row r="405" ht="12.75">
      <c r="H405" s="203"/>
    </row>
    <row r="406" ht="12.75">
      <c r="H406" s="203"/>
    </row>
    <row r="407" ht="12.75">
      <c r="H407" s="203"/>
    </row>
    <row r="408" ht="12.75">
      <c r="H408" s="203"/>
    </row>
    <row r="409" ht="12.75">
      <c r="H409" s="203"/>
    </row>
    <row r="410" ht="12.75">
      <c r="H410" s="203"/>
    </row>
    <row r="411" ht="12.75">
      <c r="H411" s="203"/>
    </row>
    <row r="412" ht="12.75">
      <c r="H412" s="203"/>
    </row>
    <row r="413" ht="12.75">
      <c r="H413" s="203"/>
    </row>
    <row r="414" ht="12.75">
      <c r="H414" s="203"/>
    </row>
    <row r="415" ht="12.75">
      <c r="H415" s="203"/>
    </row>
    <row r="416" ht="12.75">
      <c r="H416" s="203"/>
    </row>
    <row r="417" ht="12.75">
      <c r="H417" s="203"/>
    </row>
    <row r="418" ht="12.75">
      <c r="H418" s="203"/>
    </row>
    <row r="419" ht="12.75">
      <c r="H419" s="203"/>
    </row>
    <row r="420" ht="12.75">
      <c r="H420" s="203"/>
    </row>
    <row r="421" ht="12.75">
      <c r="H421" s="203"/>
    </row>
    <row r="422" ht="12.75">
      <c r="H422" s="203"/>
    </row>
    <row r="423" ht="12.75">
      <c r="H423" s="203"/>
    </row>
    <row r="424" ht="12.75">
      <c r="H424" s="203"/>
    </row>
    <row r="425" ht="12.75">
      <c r="H425" s="203"/>
    </row>
    <row r="426" ht="12.75">
      <c r="H426" s="203"/>
    </row>
    <row r="427" ht="12.75">
      <c r="H427" s="203"/>
    </row>
    <row r="428" ht="12.75">
      <c r="H428" s="203"/>
    </row>
    <row r="429" ht="12.75">
      <c r="H429" s="203"/>
    </row>
    <row r="430" ht="12.75">
      <c r="H430" s="203"/>
    </row>
    <row r="431" ht="12.75">
      <c r="H431" s="203"/>
    </row>
    <row r="432" ht="12.75">
      <c r="H432" s="203"/>
    </row>
    <row r="433" ht="12.75">
      <c r="H433" s="203"/>
    </row>
    <row r="434" ht="12.75">
      <c r="H434" s="203"/>
    </row>
    <row r="435" ht="12.75">
      <c r="H435" s="203"/>
    </row>
    <row r="436" ht="12.75">
      <c r="H436" s="203"/>
    </row>
    <row r="437" ht="12.75">
      <c r="H437" s="203"/>
    </row>
    <row r="438" ht="12.75">
      <c r="H438" s="203"/>
    </row>
    <row r="439" ht="12.75">
      <c r="H439" s="203"/>
    </row>
    <row r="440" ht="12.75">
      <c r="H440" s="203"/>
    </row>
    <row r="441" ht="12.75">
      <c r="H441" s="203"/>
    </row>
    <row r="442" ht="12.75">
      <c r="H442" s="203"/>
    </row>
    <row r="443" ht="12.75">
      <c r="H443" s="203"/>
    </row>
    <row r="444" ht="12.75">
      <c r="H444" s="203"/>
    </row>
    <row r="445" ht="12.75">
      <c r="H445" s="203"/>
    </row>
    <row r="446" ht="12.75">
      <c r="H446" s="203"/>
    </row>
    <row r="447" ht="12.75">
      <c r="H447" s="203"/>
    </row>
    <row r="448" ht="12.75">
      <c r="H448" s="203"/>
    </row>
    <row r="449" ht="12.75">
      <c r="H449" s="203"/>
    </row>
    <row r="450" ht="12.75">
      <c r="H450" s="203"/>
    </row>
    <row r="451" ht="12.75">
      <c r="H451" s="203"/>
    </row>
    <row r="452" ht="12.75">
      <c r="H452" s="203"/>
    </row>
    <row r="453" ht="12.75">
      <c r="H453" s="203"/>
    </row>
    <row r="454" ht="12.75">
      <c r="H454" s="203"/>
    </row>
    <row r="455" ht="12.75">
      <c r="H455" s="203"/>
    </row>
    <row r="456" ht="12.75">
      <c r="H456" s="203"/>
    </row>
    <row r="457" ht="12.75">
      <c r="H457" s="203"/>
    </row>
    <row r="458" ht="12.75">
      <c r="H458" s="203"/>
    </row>
    <row r="459" ht="12.75">
      <c r="H459" s="203"/>
    </row>
    <row r="460" ht="12.75">
      <c r="H460" s="203"/>
    </row>
    <row r="461" ht="12.75">
      <c r="H461" s="203"/>
    </row>
  </sheetData>
  <mergeCells count="1">
    <mergeCell ref="B39:H39"/>
  </mergeCells>
  <printOptions/>
  <pageMargins left="0.75" right="0.75" top="0.9" bottom="0.82" header="0.5" footer="0.5"/>
  <pageSetup horizontalDpi="300" verticalDpi="300" orientation="landscape" paperSize="9" r:id="rId2"/>
  <headerFooter alignWithMargins="0">
    <oddHeader>&amp;LDate : &amp;D&amp;RFilename : g:\rivops\state\allocatn\&amp;F</oddHeader>
    <oddFooter>&amp;CPage &amp;P</oddFooter>
  </headerFooter>
  <drawing r:id="rId1"/>
</worksheet>
</file>

<file path=xl/worksheets/sheet19.xml><?xml version="1.0" encoding="utf-8"?>
<worksheet xmlns="http://schemas.openxmlformats.org/spreadsheetml/2006/main" xmlns:r="http://schemas.openxmlformats.org/officeDocument/2006/relationships">
  <dimension ref="A1:H118"/>
  <sheetViews>
    <sheetView showGridLines="0" workbookViewId="0" topLeftCell="A1">
      <pane ySplit="6" topLeftCell="BM7" activePane="bottomLeft" state="frozen"/>
      <selection pane="topLeft" activeCell="A1" sqref="A1"/>
      <selection pane="bottomLeft" activeCell="I7" sqref="I7"/>
    </sheetView>
  </sheetViews>
  <sheetFormatPr defaultColWidth="9.140625" defaultRowHeight="12.75"/>
  <cols>
    <col min="1" max="1" width="9.140625" style="14" customWidth="1"/>
    <col min="2" max="2" width="10.140625" style="17" customWidth="1"/>
    <col min="3" max="3" width="10.00390625" style="24" customWidth="1"/>
    <col min="4" max="4" width="11.00390625" style="24" customWidth="1"/>
    <col min="5" max="5" width="11.421875" style="24" customWidth="1"/>
    <col min="6" max="6" width="11.28125" style="17" customWidth="1"/>
    <col min="7" max="7" width="12.8515625" style="17" customWidth="1"/>
    <col min="8" max="8" width="54.140625" style="0" customWidth="1"/>
  </cols>
  <sheetData>
    <row r="1" spans="1:8" ht="24" customHeight="1" thickBot="1">
      <c r="A1" s="36" t="s">
        <v>201</v>
      </c>
      <c r="B1" s="2"/>
      <c r="C1" s="22"/>
      <c r="D1" s="22"/>
      <c r="E1" s="22"/>
      <c r="F1" s="2"/>
      <c r="G1" s="2"/>
      <c r="H1" s="3"/>
    </row>
    <row r="2" spans="1:8" ht="15.75" customHeight="1" thickBot="1">
      <c r="A2" s="29" t="s">
        <v>80</v>
      </c>
      <c r="B2" s="33"/>
      <c r="C2" s="34"/>
      <c r="D2" s="34"/>
      <c r="E2" s="34"/>
      <c r="F2" s="33"/>
      <c r="G2" s="33"/>
      <c r="H2" s="38" t="s">
        <v>81</v>
      </c>
    </row>
    <row r="3" spans="1:8" ht="56.25" customHeight="1" thickBot="1">
      <c r="A3" s="6"/>
      <c r="B3" s="2"/>
      <c r="C3" s="22"/>
      <c r="D3" s="22"/>
      <c r="E3" s="22"/>
      <c r="F3" s="2"/>
      <c r="G3" s="2"/>
      <c r="H3" s="3"/>
    </row>
    <row r="4" spans="1:8" ht="15.75" customHeight="1" thickBot="1">
      <c r="A4" s="29" t="s">
        <v>202</v>
      </c>
      <c r="B4" s="33"/>
      <c r="C4" s="34"/>
      <c r="D4" s="34"/>
      <c r="E4" s="34"/>
      <c r="F4" s="33"/>
      <c r="G4" s="33"/>
      <c r="H4" s="38"/>
    </row>
    <row r="5" spans="1:8" s="5" customFormat="1" ht="24">
      <c r="A5" s="39"/>
      <c r="B5" s="40" t="s">
        <v>83</v>
      </c>
      <c r="C5" s="41" t="s">
        <v>84</v>
      </c>
      <c r="D5" s="41" t="s">
        <v>85</v>
      </c>
      <c r="E5" s="51" t="s">
        <v>213</v>
      </c>
      <c r="F5" s="52"/>
      <c r="G5" s="42" t="s">
        <v>86</v>
      </c>
      <c r="H5" s="43"/>
    </row>
    <row r="6" spans="1:8" s="5" customFormat="1" ht="23.25" customHeight="1" thickBot="1">
      <c r="A6" s="44" t="s">
        <v>87</v>
      </c>
      <c r="B6" s="45" t="s">
        <v>86</v>
      </c>
      <c r="C6" s="46" t="s">
        <v>86</v>
      </c>
      <c r="D6" s="46" t="s">
        <v>88</v>
      </c>
      <c r="E6" s="49" t="s">
        <v>214</v>
      </c>
      <c r="F6" s="50" t="s">
        <v>215</v>
      </c>
      <c r="G6" s="47" t="s">
        <v>89</v>
      </c>
      <c r="H6" s="48" t="s">
        <v>90</v>
      </c>
    </row>
    <row r="7" spans="1:8" ht="15.75" customHeight="1" thickBot="1">
      <c r="A7" s="56" t="s">
        <v>141</v>
      </c>
      <c r="B7" s="57">
        <v>29515</v>
      </c>
      <c r="C7" s="58">
        <v>0</v>
      </c>
      <c r="D7" s="58">
        <v>0</v>
      </c>
      <c r="E7" s="58"/>
      <c r="F7" s="59"/>
      <c r="G7" s="60" t="s">
        <v>92</v>
      </c>
      <c r="H7" s="61" t="s">
        <v>203</v>
      </c>
    </row>
    <row r="8" spans="1:8" ht="15.75" customHeight="1">
      <c r="A8" s="56" t="s">
        <v>91</v>
      </c>
      <c r="B8" s="57">
        <v>29854</v>
      </c>
      <c r="C8" s="58">
        <v>65</v>
      </c>
      <c r="D8" s="58">
        <v>0</v>
      </c>
      <c r="E8" s="58"/>
      <c r="F8" s="59"/>
      <c r="G8" s="60" t="s">
        <v>92</v>
      </c>
      <c r="H8" s="61" t="s">
        <v>166</v>
      </c>
    </row>
    <row r="9" spans="1:8" ht="15.75" customHeight="1">
      <c r="A9" s="62"/>
      <c r="B9" s="63">
        <v>29917</v>
      </c>
      <c r="C9" s="64">
        <v>80</v>
      </c>
      <c r="D9" s="64">
        <v>0</v>
      </c>
      <c r="E9" s="64"/>
      <c r="F9" s="65"/>
      <c r="G9" s="66" t="s">
        <v>92</v>
      </c>
      <c r="H9" s="67"/>
    </row>
    <row r="10" spans="1:8" ht="15.75" customHeight="1" thickBot="1">
      <c r="A10" s="68"/>
      <c r="B10" s="69">
        <v>29997</v>
      </c>
      <c r="C10" s="70">
        <v>100</v>
      </c>
      <c r="D10" s="70">
        <v>0</v>
      </c>
      <c r="E10" s="70"/>
      <c r="F10" s="71"/>
      <c r="G10" s="72" t="s">
        <v>92</v>
      </c>
      <c r="H10" s="73"/>
    </row>
    <row r="11" spans="1:8" ht="15.75" customHeight="1" thickBot="1">
      <c r="A11" s="56" t="s">
        <v>93</v>
      </c>
      <c r="B11" s="57">
        <v>30160</v>
      </c>
      <c r="C11" s="58">
        <v>50</v>
      </c>
      <c r="D11" s="58">
        <v>0</v>
      </c>
      <c r="E11" s="58"/>
      <c r="F11" s="59"/>
      <c r="G11" s="60" t="s">
        <v>92</v>
      </c>
      <c r="H11" s="61"/>
    </row>
    <row r="12" spans="1:8" ht="15.75" customHeight="1">
      <c r="A12" s="56" t="s">
        <v>95</v>
      </c>
      <c r="B12" s="57">
        <v>30523</v>
      </c>
      <c r="C12" s="58">
        <v>0</v>
      </c>
      <c r="D12" s="58">
        <v>0</v>
      </c>
      <c r="E12" s="58"/>
      <c r="F12" s="59"/>
      <c r="G12" s="60" t="s">
        <v>92</v>
      </c>
      <c r="H12" s="61"/>
    </row>
    <row r="13" spans="1:8" ht="15.75" customHeight="1">
      <c r="A13" s="62"/>
      <c r="B13" s="63">
        <v>30568</v>
      </c>
      <c r="C13" s="64">
        <v>20</v>
      </c>
      <c r="D13" s="64">
        <v>0</v>
      </c>
      <c r="E13" s="64"/>
      <c r="F13" s="65"/>
      <c r="G13" s="66" t="s">
        <v>92</v>
      </c>
      <c r="H13" s="67"/>
    </row>
    <row r="14" spans="1:8" ht="15.75" customHeight="1">
      <c r="A14" s="62"/>
      <c r="B14" s="63">
        <v>30607</v>
      </c>
      <c r="C14" s="64">
        <v>35</v>
      </c>
      <c r="D14" s="64">
        <v>0</v>
      </c>
      <c r="E14" s="64"/>
      <c r="F14" s="65"/>
      <c r="G14" s="66" t="s">
        <v>92</v>
      </c>
      <c r="H14" s="67"/>
    </row>
    <row r="15" spans="1:8" ht="15.75" customHeight="1">
      <c r="A15" s="62"/>
      <c r="B15" s="63">
        <v>30630</v>
      </c>
      <c r="C15" s="64">
        <v>45</v>
      </c>
      <c r="D15" s="64">
        <v>0</v>
      </c>
      <c r="E15" s="64"/>
      <c r="F15" s="65"/>
      <c r="G15" s="66" t="s">
        <v>92</v>
      </c>
      <c r="H15" s="67"/>
    </row>
    <row r="16" spans="1:8" ht="15.75" customHeight="1" thickBot="1">
      <c r="A16" s="68"/>
      <c r="B16" s="69">
        <v>30718</v>
      </c>
      <c r="C16" s="70">
        <v>100</v>
      </c>
      <c r="D16" s="70">
        <v>0</v>
      </c>
      <c r="E16" s="70"/>
      <c r="F16" s="71"/>
      <c r="G16" s="72" t="s">
        <v>92</v>
      </c>
      <c r="H16" s="73"/>
    </row>
    <row r="17" spans="1:8" ht="15.75" customHeight="1" thickBot="1">
      <c r="A17" s="56" t="s">
        <v>96</v>
      </c>
      <c r="B17" s="57">
        <v>30869</v>
      </c>
      <c r="C17" s="58">
        <v>100</v>
      </c>
      <c r="D17" s="58">
        <v>0</v>
      </c>
      <c r="E17" s="58"/>
      <c r="F17" s="59"/>
      <c r="G17" s="60" t="s">
        <v>92</v>
      </c>
      <c r="H17" s="61"/>
    </row>
    <row r="18" spans="1:8" ht="15.75" customHeight="1" thickBot="1">
      <c r="A18" s="74" t="s">
        <v>97</v>
      </c>
      <c r="B18" s="75">
        <v>31250</v>
      </c>
      <c r="C18" s="76">
        <v>100</v>
      </c>
      <c r="D18" s="76">
        <v>0</v>
      </c>
      <c r="E18" s="76"/>
      <c r="F18" s="77"/>
      <c r="G18" s="78" t="s">
        <v>92</v>
      </c>
      <c r="H18" s="79"/>
    </row>
    <row r="19" spans="1:8" ht="15.75" customHeight="1" thickBot="1">
      <c r="A19" s="56" t="s">
        <v>98</v>
      </c>
      <c r="B19" s="57">
        <v>31611</v>
      </c>
      <c r="C19" s="58">
        <v>100</v>
      </c>
      <c r="D19" s="58">
        <v>0</v>
      </c>
      <c r="E19" s="58"/>
      <c r="F19" s="59"/>
      <c r="G19" s="60" t="s">
        <v>92</v>
      </c>
      <c r="H19" s="61"/>
    </row>
    <row r="20" spans="1:8" ht="15.75" customHeight="1" thickBot="1">
      <c r="A20" s="74" t="s">
        <v>99</v>
      </c>
      <c r="B20" s="75">
        <v>31971</v>
      </c>
      <c r="C20" s="76">
        <v>100</v>
      </c>
      <c r="D20" s="76">
        <v>0</v>
      </c>
      <c r="E20" s="76"/>
      <c r="F20" s="77"/>
      <c r="G20" s="78" t="s">
        <v>92</v>
      </c>
      <c r="H20" s="79"/>
    </row>
    <row r="21" spans="1:8" ht="15.75" customHeight="1" thickBot="1">
      <c r="A21" s="56" t="s">
        <v>100</v>
      </c>
      <c r="B21" s="57">
        <v>32363</v>
      </c>
      <c r="C21" s="58">
        <v>100</v>
      </c>
      <c r="D21" s="58">
        <v>0</v>
      </c>
      <c r="E21" s="58"/>
      <c r="F21" s="59"/>
      <c r="G21" s="60" t="s">
        <v>92</v>
      </c>
      <c r="H21" s="61"/>
    </row>
    <row r="22" spans="1:8" ht="15.75" customHeight="1" thickBot="1">
      <c r="A22" s="74" t="s">
        <v>101</v>
      </c>
      <c r="B22" s="75">
        <v>32699</v>
      </c>
      <c r="C22" s="76">
        <v>100</v>
      </c>
      <c r="D22" s="76">
        <v>0</v>
      </c>
      <c r="E22" s="76"/>
      <c r="F22" s="77"/>
      <c r="G22" s="78" t="s">
        <v>92</v>
      </c>
      <c r="H22" s="79"/>
    </row>
    <row r="23" spans="1:8" ht="15.75" customHeight="1" thickBot="1">
      <c r="A23" s="74" t="s">
        <v>102</v>
      </c>
      <c r="B23" s="75">
        <v>33093</v>
      </c>
      <c r="C23" s="76">
        <v>100</v>
      </c>
      <c r="D23" s="76">
        <v>0</v>
      </c>
      <c r="E23" s="76"/>
      <c r="F23" s="77"/>
      <c r="G23" s="78" t="s">
        <v>92</v>
      </c>
      <c r="H23" s="79"/>
    </row>
    <row r="24" spans="1:8" ht="15.75" customHeight="1" thickBot="1">
      <c r="A24" s="74" t="s">
        <v>103</v>
      </c>
      <c r="B24" s="75">
        <v>33493</v>
      </c>
      <c r="C24" s="76">
        <v>100</v>
      </c>
      <c r="D24" s="76">
        <v>0</v>
      </c>
      <c r="E24" s="76"/>
      <c r="F24" s="77"/>
      <c r="G24" s="78" t="s">
        <v>104</v>
      </c>
      <c r="H24" s="79"/>
    </row>
    <row r="25" spans="1:8" ht="15.75" customHeight="1" thickBot="1">
      <c r="A25" s="74" t="s">
        <v>105</v>
      </c>
      <c r="B25" s="75">
        <v>33801</v>
      </c>
      <c r="C25" s="76">
        <v>100</v>
      </c>
      <c r="D25" s="76">
        <v>0</v>
      </c>
      <c r="E25" s="76"/>
      <c r="F25" s="77"/>
      <c r="G25" s="78" t="s">
        <v>104</v>
      </c>
      <c r="H25" s="79"/>
    </row>
    <row r="26" spans="1:8" ht="15.75" customHeight="1">
      <c r="A26" s="56" t="s">
        <v>106</v>
      </c>
      <c r="B26" s="57">
        <v>34183</v>
      </c>
      <c r="C26" s="58">
        <v>80</v>
      </c>
      <c r="D26" s="58">
        <v>0</v>
      </c>
      <c r="E26" s="58"/>
      <c r="F26" s="59"/>
      <c r="G26" s="60" t="s">
        <v>104</v>
      </c>
      <c r="H26" s="61"/>
    </row>
    <row r="27" spans="1:8" ht="15.75" customHeight="1" thickBot="1">
      <c r="A27" s="68"/>
      <c r="B27" s="69">
        <v>34295</v>
      </c>
      <c r="C27" s="70">
        <v>100</v>
      </c>
      <c r="D27" s="70">
        <v>0</v>
      </c>
      <c r="E27" s="70"/>
      <c r="F27" s="71"/>
      <c r="G27" s="72" t="s">
        <v>104</v>
      </c>
      <c r="H27" s="73"/>
    </row>
    <row r="28" spans="1:8" ht="15.75" customHeight="1" thickBot="1">
      <c r="A28" s="74" t="s">
        <v>108</v>
      </c>
      <c r="B28" s="75">
        <v>34611</v>
      </c>
      <c r="C28" s="76">
        <v>50</v>
      </c>
      <c r="D28" s="76">
        <v>0</v>
      </c>
      <c r="E28" s="76"/>
      <c r="F28" s="77"/>
      <c r="G28" s="78" t="s">
        <v>104</v>
      </c>
      <c r="H28" s="79"/>
    </row>
    <row r="29" spans="1:8" ht="15.75" customHeight="1">
      <c r="A29" s="56" t="s">
        <v>109</v>
      </c>
      <c r="B29" s="57">
        <v>34879</v>
      </c>
      <c r="C29" s="58">
        <v>0</v>
      </c>
      <c r="D29" s="58">
        <v>0</v>
      </c>
      <c r="E29" s="58"/>
      <c r="F29" s="59"/>
      <c r="G29" s="60" t="s">
        <v>104</v>
      </c>
      <c r="H29" s="61"/>
    </row>
    <row r="30" spans="1:8" ht="15.75" customHeight="1">
      <c r="A30" s="62"/>
      <c r="B30" s="63">
        <v>35083</v>
      </c>
      <c r="C30" s="64">
        <v>15</v>
      </c>
      <c r="D30" s="64">
        <v>0</v>
      </c>
      <c r="E30" s="64"/>
      <c r="F30" s="65"/>
      <c r="G30" s="66" t="s">
        <v>104</v>
      </c>
      <c r="H30" s="67"/>
    </row>
    <row r="31" spans="1:8" ht="15.75" customHeight="1" thickBot="1">
      <c r="A31" s="68"/>
      <c r="B31" s="69">
        <v>35143</v>
      </c>
      <c r="C31" s="70">
        <v>30</v>
      </c>
      <c r="D31" s="70">
        <v>0</v>
      </c>
      <c r="E31" s="70"/>
      <c r="F31" s="71"/>
      <c r="G31" s="72" t="s">
        <v>104</v>
      </c>
      <c r="H31" s="73"/>
    </row>
    <row r="32" spans="1:8" ht="15.75" customHeight="1">
      <c r="A32" s="56" t="s">
        <v>110</v>
      </c>
      <c r="B32" s="57">
        <v>35264</v>
      </c>
      <c r="C32" s="58">
        <v>10</v>
      </c>
      <c r="D32" s="58">
        <v>0</v>
      </c>
      <c r="E32" s="58"/>
      <c r="F32" s="59"/>
      <c r="G32" s="60" t="s">
        <v>104</v>
      </c>
      <c r="H32" s="61"/>
    </row>
    <row r="33" spans="1:8" ht="15.75" customHeight="1">
      <c r="A33" s="62"/>
      <c r="B33" s="63">
        <v>35341</v>
      </c>
      <c r="C33" s="64">
        <v>35</v>
      </c>
      <c r="D33" s="64">
        <v>0</v>
      </c>
      <c r="E33" s="64"/>
      <c r="F33" s="65"/>
      <c r="G33" s="66" t="s">
        <v>104</v>
      </c>
      <c r="H33" s="67"/>
    </row>
    <row r="34" spans="1:8" ht="15.75" customHeight="1" thickBot="1">
      <c r="A34" s="68"/>
      <c r="B34" s="69">
        <v>35415</v>
      </c>
      <c r="C34" s="70">
        <v>65</v>
      </c>
      <c r="D34" s="70">
        <v>0</v>
      </c>
      <c r="E34" s="70"/>
      <c r="F34" s="71"/>
      <c r="G34" s="72" t="s">
        <v>104</v>
      </c>
      <c r="H34" s="73"/>
    </row>
    <row r="35" spans="1:8" ht="13.5" thickBot="1">
      <c r="A35" s="74" t="s">
        <v>112</v>
      </c>
      <c r="B35" s="75">
        <v>35667</v>
      </c>
      <c r="C35" s="76">
        <v>100</v>
      </c>
      <c r="D35" s="76">
        <v>0</v>
      </c>
      <c r="E35" s="76"/>
      <c r="F35" s="77"/>
      <c r="G35" s="78" t="s">
        <v>104</v>
      </c>
      <c r="H35" s="79"/>
    </row>
    <row r="36" spans="1:8" ht="12.75">
      <c r="A36" s="158" t="s">
        <v>113</v>
      </c>
      <c r="B36" s="15">
        <v>36110</v>
      </c>
      <c r="C36" s="157">
        <v>1</v>
      </c>
      <c r="D36" s="157">
        <v>0</v>
      </c>
      <c r="E36" s="17"/>
      <c r="F36" s="16"/>
      <c r="G36" s="66" t="s">
        <v>104</v>
      </c>
      <c r="H36" s="151"/>
    </row>
    <row r="37" spans="1:8" ht="13.5" thickBot="1">
      <c r="A37" s="148"/>
      <c r="B37" s="11"/>
      <c r="C37" s="13"/>
      <c r="D37" s="13"/>
      <c r="E37" s="13"/>
      <c r="F37" s="12"/>
      <c r="G37" s="13"/>
      <c r="H37" s="121"/>
    </row>
    <row r="38" spans="1:8" ht="12.75">
      <c r="A38" s="158" t="s">
        <v>183</v>
      </c>
      <c r="B38" s="15">
        <v>36441</v>
      </c>
      <c r="C38" s="157">
        <v>1</v>
      </c>
      <c r="D38" s="157">
        <v>0</v>
      </c>
      <c r="E38" s="17"/>
      <c r="F38" s="16"/>
      <c r="G38" s="66" t="s">
        <v>104</v>
      </c>
      <c r="H38" s="151"/>
    </row>
    <row r="39" spans="1:8" ht="13.5" thickBot="1">
      <c r="A39" s="148"/>
      <c r="B39" s="11"/>
      <c r="C39" s="13"/>
      <c r="D39" s="146"/>
      <c r="E39" s="13"/>
      <c r="F39" s="12"/>
      <c r="G39" s="13"/>
      <c r="H39" s="121"/>
    </row>
    <row r="40" spans="1:8" ht="12.75">
      <c r="A40" s="158" t="s">
        <v>234</v>
      </c>
      <c r="B40" s="15">
        <v>36732</v>
      </c>
      <c r="C40" s="157">
        <v>0.8</v>
      </c>
      <c r="D40" s="157"/>
      <c r="E40" s="157"/>
      <c r="F40" s="157"/>
      <c r="H40" s="151"/>
    </row>
    <row r="41" spans="1:8" ht="13.5" thickBot="1">
      <c r="A41" s="148"/>
      <c r="B41" s="11">
        <v>36816</v>
      </c>
      <c r="C41" s="146">
        <v>1</v>
      </c>
      <c r="D41" s="146"/>
      <c r="E41" s="146"/>
      <c r="F41" s="146"/>
      <c r="G41" s="13"/>
      <c r="H41" s="121"/>
    </row>
    <row r="42" spans="1:8" ht="12.75">
      <c r="A42" s="158" t="s">
        <v>3</v>
      </c>
      <c r="B42" s="15"/>
      <c r="C42" s="157"/>
      <c r="D42" s="157"/>
      <c r="E42" s="157"/>
      <c r="F42" s="157"/>
      <c r="H42" s="151"/>
    </row>
    <row r="43" spans="1:8" ht="13.5" thickBot="1">
      <c r="A43" s="148"/>
      <c r="B43" s="11">
        <v>37207</v>
      </c>
      <c r="C43" s="146">
        <v>1</v>
      </c>
      <c r="D43" s="146"/>
      <c r="E43" s="146"/>
      <c r="F43" s="146"/>
      <c r="G43" s="13"/>
      <c r="H43" s="121"/>
    </row>
    <row r="44" spans="1:8" ht="12.75">
      <c r="A44" s="158" t="s">
        <v>10</v>
      </c>
      <c r="B44" s="15">
        <v>37452</v>
      </c>
      <c r="C44" s="157">
        <v>0.6</v>
      </c>
      <c r="D44" s="157"/>
      <c r="E44" s="157"/>
      <c r="F44" s="157"/>
      <c r="H44" s="151"/>
    </row>
    <row r="45" spans="1:8" ht="13.5" thickBot="1">
      <c r="A45" s="148"/>
      <c r="B45" s="11"/>
      <c r="C45" s="146"/>
      <c r="D45" s="146"/>
      <c r="E45" s="146"/>
      <c r="F45" s="146"/>
      <c r="G45" s="13"/>
      <c r="H45" s="121"/>
    </row>
    <row r="46" spans="1:8" ht="12.75">
      <c r="A46" s="147" t="s">
        <v>13</v>
      </c>
      <c r="B46" s="7">
        <v>37809</v>
      </c>
      <c r="C46" s="159">
        <v>0</v>
      </c>
      <c r="D46" s="159"/>
      <c r="E46" s="159"/>
      <c r="F46" s="159"/>
      <c r="G46" s="9" t="s">
        <v>111</v>
      </c>
      <c r="H46" s="120" t="s">
        <v>16</v>
      </c>
    </row>
    <row r="47" spans="1:8" ht="12.75">
      <c r="A47" s="158"/>
      <c r="B47" s="15">
        <v>37949</v>
      </c>
      <c r="C47" s="157">
        <v>0.05</v>
      </c>
      <c r="D47" s="157"/>
      <c r="E47" s="157"/>
      <c r="F47" s="157"/>
      <c r="H47" s="151"/>
    </row>
    <row r="48" spans="1:8" ht="12.75">
      <c r="A48" s="158"/>
      <c r="B48" s="15">
        <v>37976</v>
      </c>
      <c r="C48" s="157">
        <v>0.08</v>
      </c>
      <c r="D48" s="157"/>
      <c r="E48" s="157"/>
      <c r="F48" s="157"/>
      <c r="H48" s="151"/>
    </row>
    <row r="49" spans="1:8" ht="12.75">
      <c r="A49" s="158"/>
      <c r="B49" s="15">
        <v>38026</v>
      </c>
      <c r="C49" s="157">
        <v>0.2</v>
      </c>
      <c r="D49" s="157"/>
      <c r="E49" s="157"/>
      <c r="F49" s="157"/>
      <c r="H49" s="151"/>
    </row>
    <row r="50" spans="1:8" ht="13.5" thickBot="1">
      <c r="A50" s="148"/>
      <c r="B50" s="11">
        <v>38070</v>
      </c>
      <c r="C50" s="146">
        <v>0.35</v>
      </c>
      <c r="D50" s="146"/>
      <c r="E50" s="146"/>
      <c r="F50" s="146"/>
      <c r="G50" s="13"/>
      <c r="H50" s="121"/>
    </row>
    <row r="51" spans="1:8" ht="12.75">
      <c r="A51" s="147" t="s">
        <v>42</v>
      </c>
      <c r="B51" s="7">
        <v>38169</v>
      </c>
      <c r="C51" s="159">
        <v>0</v>
      </c>
      <c r="D51" s="159"/>
      <c r="E51" s="159"/>
      <c r="F51" s="159"/>
      <c r="G51" s="9" t="s">
        <v>111</v>
      </c>
      <c r="H51" s="294" t="s">
        <v>47</v>
      </c>
    </row>
    <row r="52" spans="1:8" ht="12.75">
      <c r="A52" s="158"/>
      <c r="B52" s="15">
        <v>38201</v>
      </c>
      <c r="C52" s="157">
        <v>0.05</v>
      </c>
      <c r="D52" s="157"/>
      <c r="E52" s="157"/>
      <c r="F52" s="157"/>
      <c r="G52" s="17" t="s">
        <v>111</v>
      </c>
      <c r="H52" s="279" t="s">
        <v>47</v>
      </c>
    </row>
    <row r="53" spans="1:8" ht="12.75">
      <c r="A53" s="158"/>
      <c r="B53" s="15">
        <v>38247</v>
      </c>
      <c r="C53" s="157">
        <v>0.2</v>
      </c>
      <c r="D53" s="157"/>
      <c r="E53" s="157"/>
      <c r="F53" s="157"/>
      <c r="G53" s="17" t="s">
        <v>111</v>
      </c>
      <c r="H53" s="279" t="s">
        <v>47</v>
      </c>
    </row>
    <row r="54" spans="1:8" ht="12.75">
      <c r="A54" s="158"/>
      <c r="B54" s="15">
        <v>38299</v>
      </c>
      <c r="C54" s="157">
        <v>0.4</v>
      </c>
      <c r="D54" s="157"/>
      <c r="E54" s="157"/>
      <c r="F54" s="157"/>
      <c r="G54" s="17" t="s">
        <v>111</v>
      </c>
      <c r="H54" s="279" t="s">
        <v>47</v>
      </c>
    </row>
    <row r="55" spans="1:8" ht="12.75">
      <c r="A55" s="158"/>
      <c r="B55" s="15">
        <v>38373</v>
      </c>
      <c r="C55" s="157">
        <v>0.5</v>
      </c>
      <c r="D55" s="157"/>
      <c r="E55" s="157"/>
      <c r="F55" s="157"/>
      <c r="G55" s="17" t="s">
        <v>111</v>
      </c>
      <c r="H55" s="279" t="s">
        <v>47</v>
      </c>
    </row>
    <row r="56" spans="1:8" ht="13.5" thickBot="1">
      <c r="A56" s="148"/>
      <c r="B56" s="11">
        <v>38407</v>
      </c>
      <c r="C56" s="146">
        <v>0.65</v>
      </c>
      <c r="D56" s="146"/>
      <c r="E56" s="146"/>
      <c r="F56" s="146"/>
      <c r="G56" s="13" t="s">
        <v>111</v>
      </c>
      <c r="H56" s="295" t="s">
        <v>47</v>
      </c>
    </row>
    <row r="57" spans="1:8" ht="12.75">
      <c r="A57" s="147" t="s">
        <v>50</v>
      </c>
      <c r="B57" s="7">
        <v>38534</v>
      </c>
      <c r="C57" s="159">
        <v>0</v>
      </c>
      <c r="D57" s="159"/>
      <c r="E57" s="159"/>
      <c r="F57" s="159"/>
      <c r="G57" s="9" t="s">
        <v>111</v>
      </c>
      <c r="H57" s="294" t="s">
        <v>47</v>
      </c>
    </row>
    <row r="58" spans="1:8" ht="12.75">
      <c r="A58" s="158"/>
      <c r="B58" s="15">
        <v>38568</v>
      </c>
      <c r="C58" s="24">
        <v>10</v>
      </c>
      <c r="G58" s="17" t="s">
        <v>111</v>
      </c>
      <c r="H58" s="279" t="s">
        <v>47</v>
      </c>
    </row>
    <row r="59" spans="1:8" ht="12.75">
      <c r="A59" s="158"/>
      <c r="B59" s="15">
        <v>38602</v>
      </c>
      <c r="C59" s="24">
        <v>20</v>
      </c>
      <c r="G59" s="17" t="s">
        <v>111</v>
      </c>
      <c r="H59" s="279" t="s">
        <v>47</v>
      </c>
    </row>
    <row r="60" spans="1:8" ht="12.75">
      <c r="A60" s="158"/>
      <c r="B60" s="15">
        <v>38667</v>
      </c>
      <c r="C60" s="24">
        <v>35</v>
      </c>
      <c r="G60" s="17" t="s">
        <v>111</v>
      </c>
      <c r="H60" s="279" t="s">
        <v>47</v>
      </c>
    </row>
    <row r="61" spans="1:8" ht="12.75">
      <c r="A61" s="158"/>
      <c r="B61" s="15">
        <v>38755</v>
      </c>
      <c r="C61" s="24">
        <v>45</v>
      </c>
      <c r="G61" s="17" t="s">
        <v>111</v>
      </c>
      <c r="H61" s="279" t="s">
        <v>47</v>
      </c>
    </row>
    <row r="62" spans="1:8" ht="13.5" thickBot="1">
      <c r="A62" s="148"/>
      <c r="B62" s="13"/>
      <c r="C62" s="25"/>
      <c r="D62" s="25"/>
      <c r="E62" s="25"/>
      <c r="F62" s="13"/>
      <c r="G62" s="13"/>
      <c r="H62" s="296"/>
    </row>
    <row r="63" spans="1:8" ht="12.75">
      <c r="A63" s="147" t="s">
        <v>53</v>
      </c>
      <c r="B63" s="7">
        <v>38899</v>
      </c>
      <c r="C63" s="159">
        <v>0</v>
      </c>
      <c r="D63" s="159"/>
      <c r="E63" s="159"/>
      <c r="F63" s="159"/>
      <c r="G63" s="9" t="s">
        <v>52</v>
      </c>
      <c r="H63" s="294" t="s">
        <v>74</v>
      </c>
    </row>
    <row r="64" spans="1:8" ht="13.5" thickBot="1">
      <c r="A64" s="148"/>
      <c r="B64" s="13"/>
      <c r="C64" s="25"/>
      <c r="D64" s="25"/>
      <c r="E64" s="25"/>
      <c r="F64" s="13"/>
      <c r="G64" s="13"/>
      <c r="H64" s="296"/>
    </row>
    <row r="65" spans="1:8" ht="12.75">
      <c r="A65" s="147" t="s">
        <v>70</v>
      </c>
      <c r="B65" s="7">
        <v>39342</v>
      </c>
      <c r="C65" s="159">
        <v>0</v>
      </c>
      <c r="D65" s="159"/>
      <c r="E65" s="159"/>
      <c r="F65" s="159"/>
      <c r="G65" s="9" t="s">
        <v>73</v>
      </c>
      <c r="H65" s="294" t="s">
        <v>74</v>
      </c>
    </row>
    <row r="66" spans="1:8" ht="12.75">
      <c r="A66" s="158"/>
      <c r="B66" s="15">
        <v>39423</v>
      </c>
      <c r="C66" s="24">
        <v>20</v>
      </c>
      <c r="G66" s="17" t="s">
        <v>73</v>
      </c>
      <c r="H66" s="279" t="s">
        <v>74</v>
      </c>
    </row>
    <row r="67" spans="1:8" ht="13.5" thickBot="1">
      <c r="A67" s="148"/>
      <c r="B67" s="11">
        <v>39456</v>
      </c>
      <c r="C67" s="25">
        <v>50</v>
      </c>
      <c r="D67" s="25"/>
      <c r="E67" s="25"/>
      <c r="F67" s="13"/>
      <c r="G67" s="13" t="s">
        <v>73</v>
      </c>
      <c r="H67" s="296" t="s">
        <v>74</v>
      </c>
    </row>
    <row r="68" spans="1:8" ht="12.75">
      <c r="A68" s="147" t="s">
        <v>76</v>
      </c>
      <c r="B68" s="7">
        <v>39630</v>
      </c>
      <c r="C68" s="159">
        <v>0.3</v>
      </c>
      <c r="D68" s="159"/>
      <c r="E68" s="159"/>
      <c r="F68" s="159"/>
      <c r="G68" s="9" t="s">
        <v>73</v>
      </c>
      <c r="H68" s="294" t="s">
        <v>74</v>
      </c>
    </row>
    <row r="69" spans="1:8" ht="12.75">
      <c r="A69" s="158"/>
      <c r="B69" s="15">
        <v>39699</v>
      </c>
      <c r="C69" s="24">
        <v>55</v>
      </c>
      <c r="G69" s="17" t="s">
        <v>73</v>
      </c>
      <c r="H69" s="279" t="s">
        <v>74</v>
      </c>
    </row>
    <row r="70" spans="1:8" ht="13.5" thickBot="1">
      <c r="A70" s="148"/>
      <c r="B70" s="11">
        <v>39759</v>
      </c>
      <c r="C70" s="25">
        <v>80</v>
      </c>
      <c r="D70" s="25"/>
      <c r="E70" s="25"/>
      <c r="F70" s="13"/>
      <c r="G70" s="13" t="s">
        <v>73</v>
      </c>
      <c r="H70" s="296" t="s">
        <v>74</v>
      </c>
    </row>
    <row r="71" spans="1:8" s="304" customFormat="1" ht="12.75">
      <c r="A71" s="181" t="s">
        <v>78</v>
      </c>
      <c r="B71" s="57">
        <v>39995</v>
      </c>
      <c r="C71" s="141">
        <v>0.8</v>
      </c>
      <c r="D71" s="141"/>
      <c r="E71" s="141"/>
      <c r="F71" s="141"/>
      <c r="G71" s="325" t="s">
        <v>77</v>
      </c>
      <c r="H71" s="294" t="s">
        <v>74</v>
      </c>
    </row>
    <row r="72" spans="1:8" ht="13.5" thickBot="1">
      <c r="A72" s="148"/>
      <c r="B72" s="11">
        <v>40127</v>
      </c>
      <c r="C72" s="25">
        <v>100</v>
      </c>
      <c r="D72" s="25"/>
      <c r="E72" s="25"/>
      <c r="F72" s="13"/>
      <c r="G72" s="13" t="s">
        <v>77</v>
      </c>
      <c r="H72" s="296" t="s">
        <v>74</v>
      </c>
    </row>
    <row r="73" spans="1:8" ht="17.25" customHeight="1" thickBot="1">
      <c r="A73" s="127" t="s">
        <v>63</v>
      </c>
      <c r="B73" s="338" t="s">
        <v>64</v>
      </c>
      <c r="C73" s="339"/>
      <c r="D73" s="339"/>
      <c r="E73" s="339"/>
      <c r="F73" s="339"/>
      <c r="G73" s="339"/>
      <c r="H73" s="337"/>
    </row>
    <row r="74" ht="12.75">
      <c r="H74" s="203"/>
    </row>
    <row r="75" ht="12.75">
      <c r="H75" s="203"/>
    </row>
    <row r="76" ht="12.75">
      <c r="H76" s="203"/>
    </row>
    <row r="77" ht="12.75">
      <c r="H77" s="203"/>
    </row>
    <row r="78" ht="12.75">
      <c r="H78" s="203"/>
    </row>
    <row r="79" ht="12.75">
      <c r="H79" s="203"/>
    </row>
    <row r="80" ht="12.75">
      <c r="H80" s="203"/>
    </row>
    <row r="81" ht="12.75">
      <c r="H81" s="203"/>
    </row>
    <row r="82" ht="12.75">
      <c r="H82" s="203"/>
    </row>
    <row r="83" ht="12.75">
      <c r="H83" s="203"/>
    </row>
    <row r="84" ht="12.75">
      <c r="H84" s="203"/>
    </row>
    <row r="85" ht="12.75">
      <c r="H85" s="203"/>
    </row>
    <row r="86" ht="12.75">
      <c r="H86" s="203"/>
    </row>
    <row r="87" ht="12.75">
      <c r="H87" s="203"/>
    </row>
    <row r="88" ht="12.75">
      <c r="H88" s="203"/>
    </row>
    <row r="89" ht="12.75">
      <c r="H89" s="203"/>
    </row>
    <row r="90" ht="12.75">
      <c r="H90" s="203"/>
    </row>
    <row r="91" ht="12.75">
      <c r="H91" s="203"/>
    </row>
    <row r="92" ht="12.75">
      <c r="H92" s="203"/>
    </row>
    <row r="93" ht="12.75">
      <c r="H93" s="203"/>
    </row>
    <row r="94" ht="12.75">
      <c r="H94" s="203"/>
    </row>
    <row r="95" ht="12.75">
      <c r="H95" s="203"/>
    </row>
    <row r="96" ht="12.75">
      <c r="H96" s="203"/>
    </row>
    <row r="97" ht="12.75">
      <c r="H97" s="203"/>
    </row>
    <row r="98" ht="12.75">
      <c r="H98" s="203"/>
    </row>
    <row r="99" ht="12.75">
      <c r="H99" s="203"/>
    </row>
    <row r="100" ht="12.75">
      <c r="H100" s="203"/>
    </row>
    <row r="101" ht="12.75">
      <c r="H101" s="203"/>
    </row>
    <row r="102" ht="12.75">
      <c r="H102" s="203"/>
    </row>
    <row r="103" ht="12.75">
      <c r="H103" s="203"/>
    </row>
    <row r="104" ht="12.75">
      <c r="H104" s="203"/>
    </row>
    <row r="105" ht="12.75">
      <c r="H105" s="203"/>
    </row>
    <row r="106" ht="12.75">
      <c r="H106" s="203"/>
    </row>
    <row r="107" ht="12.75">
      <c r="H107" s="203"/>
    </row>
    <row r="108" ht="12.75">
      <c r="H108" s="203"/>
    </row>
    <row r="109" ht="12.75">
      <c r="H109" s="203"/>
    </row>
    <row r="110" ht="12.75">
      <c r="H110" s="203"/>
    </row>
    <row r="111" ht="12.75">
      <c r="H111" s="203"/>
    </row>
    <row r="112" ht="12.75">
      <c r="H112" s="203"/>
    </row>
    <row r="113" ht="12.75">
      <c r="H113" s="203"/>
    </row>
    <row r="114" ht="12.75">
      <c r="H114" s="203"/>
    </row>
    <row r="115" ht="12.75">
      <c r="H115" s="203"/>
    </row>
    <row r="116" ht="12.75">
      <c r="H116" s="203"/>
    </row>
    <row r="117" ht="12.75">
      <c r="H117" s="203"/>
    </row>
    <row r="118" ht="12.75">
      <c r="H118" s="203"/>
    </row>
  </sheetData>
  <mergeCells count="1">
    <mergeCell ref="B73:H73"/>
  </mergeCells>
  <printOptions/>
  <pageMargins left="0.75" right="0.75" top="0.9" bottom="0.82" header="0.5" footer="0.5"/>
  <pageSetup horizontalDpi="300" verticalDpi="300" orientation="landscape" paperSize="9" r:id="rId2"/>
  <headerFooter alignWithMargins="0">
    <oddHeader>&amp;LDate : &amp;D&amp;RFilename : g:\rivops\state\allocatn\&amp;F</oddHeader>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H60"/>
  <sheetViews>
    <sheetView showGridLines="0" workbookViewId="0" topLeftCell="A1">
      <pane xSplit="1" ySplit="6" topLeftCell="B7" activePane="bottomRight" state="frozen"/>
      <selection pane="topLeft" activeCell="A1" sqref="A1"/>
      <selection pane="topRight" activeCell="B1" sqref="B1"/>
      <selection pane="bottomLeft" activeCell="A7" sqref="A7"/>
      <selection pane="bottomRight" activeCell="J67" sqref="J67"/>
    </sheetView>
  </sheetViews>
  <sheetFormatPr defaultColWidth="9.140625" defaultRowHeight="12.75"/>
  <cols>
    <col min="1" max="1" width="9.140625" style="14" customWidth="1"/>
    <col min="2" max="2" width="10.140625" style="17" customWidth="1"/>
    <col min="3" max="3" width="10.00390625" style="24" customWidth="1"/>
    <col min="4" max="4" width="11.00390625" style="24" customWidth="1"/>
    <col min="5" max="5" width="11.421875" style="24" customWidth="1"/>
    <col min="6" max="6" width="11.7109375" style="16" customWidth="1"/>
    <col min="7" max="7" width="12.8515625" style="17" customWidth="1"/>
    <col min="8" max="8" width="54.140625" style="0" customWidth="1"/>
  </cols>
  <sheetData>
    <row r="1" spans="1:8" ht="24" customHeight="1" thickBot="1">
      <c r="A1" s="36" t="s">
        <v>114</v>
      </c>
      <c r="B1" s="2"/>
      <c r="C1" s="22"/>
      <c r="D1" s="22"/>
      <c r="E1" s="22"/>
      <c r="F1" s="137"/>
      <c r="G1" s="2"/>
      <c r="H1" s="3"/>
    </row>
    <row r="2" spans="1:8" ht="15.75" customHeight="1" thickBot="1">
      <c r="A2" s="29" t="s">
        <v>80</v>
      </c>
      <c r="B2" s="33"/>
      <c r="C2" s="34"/>
      <c r="D2" s="34"/>
      <c r="E2" s="34"/>
      <c r="F2" s="138"/>
      <c r="G2" s="33"/>
      <c r="H2" s="38" t="s">
        <v>81</v>
      </c>
    </row>
    <row r="3" spans="1:8" ht="54" customHeight="1" thickBot="1">
      <c r="A3" s="6"/>
      <c r="B3" s="2"/>
      <c r="C3" s="22"/>
      <c r="D3" s="22"/>
      <c r="E3" s="22"/>
      <c r="F3" s="137"/>
      <c r="G3" s="2"/>
      <c r="H3" s="3"/>
    </row>
    <row r="4" spans="1:8" ht="15.75" customHeight="1" thickBot="1">
      <c r="A4" s="29" t="s">
        <v>115</v>
      </c>
      <c r="B4" s="33"/>
      <c r="C4" s="34"/>
      <c r="D4" s="34"/>
      <c r="E4" s="34"/>
      <c r="F4" s="138"/>
      <c r="G4" s="33"/>
      <c r="H4" s="38"/>
    </row>
    <row r="5" spans="1:8" s="5" customFormat="1" ht="24">
      <c r="A5" s="39"/>
      <c r="B5" s="40" t="s">
        <v>83</v>
      </c>
      <c r="C5" s="41" t="s">
        <v>84</v>
      </c>
      <c r="D5" s="41" t="s">
        <v>85</v>
      </c>
      <c r="E5" s="51" t="s">
        <v>213</v>
      </c>
      <c r="F5" s="139"/>
      <c r="G5" s="42" t="s">
        <v>86</v>
      </c>
      <c r="H5" s="43"/>
    </row>
    <row r="6" spans="1:8" s="5" customFormat="1" ht="23.25" customHeight="1" thickBot="1">
      <c r="A6" s="44" t="s">
        <v>87</v>
      </c>
      <c r="B6" s="45" t="s">
        <v>86</v>
      </c>
      <c r="C6" s="46" t="s">
        <v>86</v>
      </c>
      <c r="D6" s="46" t="s">
        <v>88</v>
      </c>
      <c r="E6" s="49" t="s">
        <v>214</v>
      </c>
      <c r="F6" s="140" t="s">
        <v>215</v>
      </c>
      <c r="G6" s="47" t="s">
        <v>89</v>
      </c>
      <c r="H6" s="48" t="s">
        <v>90</v>
      </c>
    </row>
    <row r="7" spans="1:8" ht="15.75" customHeight="1">
      <c r="A7" s="56" t="s">
        <v>93</v>
      </c>
      <c r="B7" s="57">
        <v>30207</v>
      </c>
      <c r="C7" s="58">
        <v>100</v>
      </c>
      <c r="D7" s="58">
        <v>0</v>
      </c>
      <c r="E7" s="58"/>
      <c r="F7" s="60"/>
      <c r="G7" s="60" t="s">
        <v>92</v>
      </c>
      <c r="H7" s="61"/>
    </row>
    <row r="8" spans="1:8" ht="15.75" customHeight="1" thickBot="1">
      <c r="A8" s="68"/>
      <c r="B8" s="69">
        <v>30272</v>
      </c>
      <c r="C8" s="70">
        <v>120</v>
      </c>
      <c r="D8" s="70">
        <v>0</v>
      </c>
      <c r="E8" s="70"/>
      <c r="F8" s="72"/>
      <c r="G8" s="72" t="s">
        <v>92</v>
      </c>
      <c r="H8" s="73"/>
    </row>
    <row r="9" spans="1:8" ht="15.75" customHeight="1">
      <c r="A9" s="56" t="s">
        <v>95</v>
      </c>
      <c r="B9" s="57">
        <v>30519</v>
      </c>
      <c r="C9" s="58">
        <v>80</v>
      </c>
      <c r="D9" s="58">
        <v>0</v>
      </c>
      <c r="E9" s="58"/>
      <c r="F9" s="60"/>
      <c r="G9" s="60" t="s">
        <v>92</v>
      </c>
      <c r="H9" s="61"/>
    </row>
    <row r="10" spans="1:8" ht="15.75" customHeight="1" thickBot="1">
      <c r="A10" s="68"/>
      <c r="B10" s="69">
        <v>30588</v>
      </c>
      <c r="C10" s="70">
        <v>100</v>
      </c>
      <c r="D10" s="70">
        <v>0</v>
      </c>
      <c r="E10" s="70"/>
      <c r="F10" s="72"/>
      <c r="G10" s="72" t="s">
        <v>92</v>
      </c>
      <c r="H10" s="73"/>
    </row>
    <row r="11" spans="1:8" ht="15.75" customHeight="1" thickBot="1">
      <c r="A11" s="56" t="s">
        <v>96</v>
      </c>
      <c r="B11" s="57">
        <v>30876</v>
      </c>
      <c r="C11" s="58">
        <v>100</v>
      </c>
      <c r="D11" s="58">
        <v>0</v>
      </c>
      <c r="E11" s="58"/>
      <c r="F11" s="60"/>
      <c r="G11" s="60" t="s">
        <v>92</v>
      </c>
      <c r="H11" s="61"/>
    </row>
    <row r="12" spans="1:8" ht="15.75" customHeight="1" thickBot="1">
      <c r="A12" s="74" t="s">
        <v>97</v>
      </c>
      <c r="B12" s="75">
        <v>31313</v>
      </c>
      <c r="C12" s="76">
        <v>100</v>
      </c>
      <c r="D12" s="76">
        <v>0</v>
      </c>
      <c r="E12" s="76"/>
      <c r="F12" s="66"/>
      <c r="G12" s="78" t="s">
        <v>92</v>
      </c>
      <c r="H12" s="79"/>
    </row>
    <row r="13" spans="1:8" ht="15.75" customHeight="1" thickBot="1">
      <c r="A13" s="56" t="s">
        <v>98</v>
      </c>
      <c r="B13" s="57">
        <v>31667</v>
      </c>
      <c r="C13" s="58">
        <v>100</v>
      </c>
      <c r="D13" s="58">
        <v>0</v>
      </c>
      <c r="E13" s="58"/>
      <c r="F13" s="66"/>
      <c r="G13" s="60" t="s">
        <v>92</v>
      </c>
      <c r="H13" s="61"/>
    </row>
    <row r="14" spans="1:8" ht="15.75" customHeight="1" thickBot="1">
      <c r="A14" s="74" t="s">
        <v>99</v>
      </c>
      <c r="B14" s="75">
        <v>32073</v>
      </c>
      <c r="C14" s="76">
        <v>100</v>
      </c>
      <c r="D14" s="76">
        <v>0</v>
      </c>
      <c r="E14" s="76"/>
      <c r="F14" s="72"/>
      <c r="G14" s="78" t="s">
        <v>92</v>
      </c>
      <c r="H14" s="79"/>
    </row>
    <row r="15" spans="1:8" ht="15.75" customHeight="1" thickBot="1">
      <c r="A15" s="56" t="s">
        <v>100</v>
      </c>
      <c r="B15" s="57">
        <v>32401</v>
      </c>
      <c r="C15" s="58">
        <v>100</v>
      </c>
      <c r="D15" s="58">
        <v>0</v>
      </c>
      <c r="E15" s="58"/>
      <c r="F15" s="60"/>
      <c r="G15" s="60" t="s">
        <v>92</v>
      </c>
      <c r="H15" s="61"/>
    </row>
    <row r="16" spans="1:8" ht="15.75" customHeight="1" thickBot="1">
      <c r="A16" s="56" t="s">
        <v>101</v>
      </c>
      <c r="B16" s="57">
        <v>32721</v>
      </c>
      <c r="C16" s="58">
        <v>80</v>
      </c>
      <c r="D16" s="58">
        <v>0</v>
      </c>
      <c r="E16" s="58"/>
      <c r="F16" s="72"/>
      <c r="G16" s="60" t="s">
        <v>92</v>
      </c>
      <c r="H16" s="61"/>
    </row>
    <row r="17" spans="1:8" ht="15.75" customHeight="1" thickBot="1">
      <c r="A17" s="68"/>
      <c r="B17" s="69">
        <v>32888</v>
      </c>
      <c r="C17" s="70">
        <v>100</v>
      </c>
      <c r="D17" s="70">
        <v>0</v>
      </c>
      <c r="E17" s="70"/>
      <c r="F17" s="78"/>
      <c r="G17" s="72" t="s">
        <v>92</v>
      </c>
      <c r="H17" s="73"/>
    </row>
    <row r="18" spans="1:8" ht="15.75" customHeight="1">
      <c r="A18" s="56" t="s">
        <v>102</v>
      </c>
      <c r="B18" s="57">
        <v>33111</v>
      </c>
      <c r="C18" s="58">
        <v>80</v>
      </c>
      <c r="D18" s="58">
        <v>0</v>
      </c>
      <c r="E18" s="58"/>
      <c r="F18" s="60"/>
      <c r="G18" s="60" t="s">
        <v>92</v>
      </c>
      <c r="H18" s="61"/>
    </row>
    <row r="19" spans="1:8" ht="15.75" customHeight="1" thickBot="1">
      <c r="A19" s="68"/>
      <c r="B19" s="69">
        <v>33282</v>
      </c>
      <c r="C19" s="70">
        <v>100</v>
      </c>
      <c r="D19" s="70">
        <v>0</v>
      </c>
      <c r="E19" s="70"/>
      <c r="F19" s="66"/>
      <c r="G19" s="72" t="s">
        <v>92</v>
      </c>
      <c r="H19" s="73"/>
    </row>
    <row r="20" spans="1:8" ht="15.75" customHeight="1" thickBot="1">
      <c r="A20" s="56" t="s">
        <v>103</v>
      </c>
      <c r="B20" s="57">
        <v>33486</v>
      </c>
      <c r="C20" s="58">
        <v>80</v>
      </c>
      <c r="D20" s="58">
        <v>0</v>
      </c>
      <c r="E20" s="58"/>
      <c r="F20" s="72"/>
      <c r="G20" s="60" t="s">
        <v>104</v>
      </c>
      <c r="H20" s="61"/>
    </row>
    <row r="21" spans="1:8" ht="15.75" customHeight="1" thickBot="1">
      <c r="A21" s="68"/>
      <c r="B21" s="69">
        <v>33604</v>
      </c>
      <c r="C21" s="70">
        <v>100</v>
      </c>
      <c r="D21" s="70">
        <v>0</v>
      </c>
      <c r="E21" s="70"/>
      <c r="F21" s="78"/>
      <c r="G21" s="72" t="s">
        <v>104</v>
      </c>
      <c r="H21" s="73"/>
    </row>
    <row r="22" spans="1:8" ht="15.75" customHeight="1">
      <c r="A22" s="56" t="s">
        <v>105</v>
      </c>
      <c r="B22" s="57">
        <v>33861</v>
      </c>
      <c r="C22" s="58">
        <v>80</v>
      </c>
      <c r="D22" s="58">
        <v>0</v>
      </c>
      <c r="E22" s="58"/>
      <c r="F22" s="60"/>
      <c r="G22" s="60" t="s">
        <v>104</v>
      </c>
      <c r="H22" s="61"/>
    </row>
    <row r="23" spans="1:8" ht="15.75" customHeight="1" thickBot="1">
      <c r="A23" s="68"/>
      <c r="B23" s="69">
        <v>34009</v>
      </c>
      <c r="C23" s="70">
        <v>100</v>
      </c>
      <c r="D23" s="70">
        <v>0</v>
      </c>
      <c r="E23" s="70"/>
      <c r="F23" s="72"/>
      <c r="G23" s="72" t="s">
        <v>104</v>
      </c>
      <c r="H23" s="73"/>
    </row>
    <row r="24" spans="1:8" ht="15.75" customHeight="1" thickBot="1">
      <c r="A24" s="56" t="s">
        <v>106</v>
      </c>
      <c r="B24" s="57">
        <v>34290</v>
      </c>
      <c r="C24" s="58">
        <v>80</v>
      </c>
      <c r="D24" s="58">
        <v>0</v>
      </c>
      <c r="E24" s="58"/>
      <c r="F24" s="78"/>
      <c r="G24" s="60" t="s">
        <v>104</v>
      </c>
      <c r="H24" s="61"/>
    </row>
    <row r="25" spans="1:8" ht="15.75" customHeight="1" thickBot="1">
      <c r="A25" s="68"/>
      <c r="B25" s="69">
        <v>34374</v>
      </c>
      <c r="C25" s="70">
        <v>100</v>
      </c>
      <c r="D25" s="70">
        <v>0</v>
      </c>
      <c r="E25" s="70"/>
      <c r="F25" s="78"/>
      <c r="G25" s="72" t="s">
        <v>104</v>
      </c>
      <c r="H25" s="73"/>
    </row>
    <row r="26" spans="1:8" ht="15.75" customHeight="1" thickBot="1">
      <c r="A26" s="56" t="s">
        <v>108</v>
      </c>
      <c r="B26" s="57">
        <v>34578</v>
      </c>
      <c r="C26" s="58">
        <v>80</v>
      </c>
      <c r="D26" s="58">
        <v>0</v>
      </c>
      <c r="E26" s="58"/>
      <c r="F26" s="78"/>
      <c r="G26" s="60" t="s">
        <v>104</v>
      </c>
      <c r="H26" s="61"/>
    </row>
    <row r="27" spans="1:8" ht="15.75" customHeight="1" thickBot="1">
      <c r="A27" s="68"/>
      <c r="B27" s="69">
        <v>34738</v>
      </c>
      <c r="C27" s="70">
        <v>100</v>
      </c>
      <c r="D27" s="70">
        <v>0</v>
      </c>
      <c r="E27" s="70"/>
      <c r="F27" s="78"/>
      <c r="G27" s="72" t="s">
        <v>104</v>
      </c>
      <c r="H27" s="73"/>
    </row>
    <row r="28" spans="1:8" ht="15.75" customHeight="1" thickBot="1">
      <c r="A28" s="56" t="s">
        <v>109</v>
      </c>
      <c r="B28" s="57">
        <v>34956</v>
      </c>
      <c r="C28" s="58">
        <v>80</v>
      </c>
      <c r="D28" s="58">
        <v>0</v>
      </c>
      <c r="E28" s="58"/>
      <c r="F28" s="78"/>
      <c r="G28" s="60" t="s">
        <v>104</v>
      </c>
      <c r="H28" s="61"/>
    </row>
    <row r="29" spans="1:8" ht="15.75" customHeight="1" thickBot="1">
      <c r="A29" s="68"/>
      <c r="B29" s="69">
        <v>35150</v>
      </c>
      <c r="C29" s="70">
        <v>100</v>
      </c>
      <c r="D29" s="70">
        <v>0</v>
      </c>
      <c r="E29" s="70"/>
      <c r="F29" s="78"/>
      <c r="G29" s="72" t="s">
        <v>104</v>
      </c>
      <c r="H29" s="73"/>
    </row>
    <row r="30" spans="1:8" ht="15.75" customHeight="1" thickBot="1">
      <c r="A30" s="56" t="s">
        <v>110</v>
      </c>
      <c r="B30" s="57">
        <v>35400</v>
      </c>
      <c r="C30" s="58">
        <v>80</v>
      </c>
      <c r="D30" s="58">
        <v>0</v>
      </c>
      <c r="E30" s="58"/>
      <c r="F30" s="78"/>
      <c r="G30" s="60" t="s">
        <v>104</v>
      </c>
      <c r="H30" s="61"/>
    </row>
    <row r="31" spans="1:8" ht="15.75" customHeight="1" thickBot="1">
      <c r="A31" s="68"/>
      <c r="B31" s="69"/>
      <c r="C31" s="70"/>
      <c r="D31" s="70"/>
      <c r="E31" s="70"/>
      <c r="F31" s="78"/>
      <c r="G31" s="72"/>
      <c r="H31" s="73"/>
    </row>
    <row r="32" spans="1:8" ht="39" thickBot="1">
      <c r="A32" s="114" t="s">
        <v>112</v>
      </c>
      <c r="B32" s="118">
        <v>35811</v>
      </c>
      <c r="C32" s="116">
        <v>100</v>
      </c>
      <c r="D32" s="116">
        <v>0</v>
      </c>
      <c r="E32" s="116"/>
      <c r="F32" s="78"/>
      <c r="G32" s="115" t="s">
        <v>104</v>
      </c>
      <c r="H32" s="117" t="s">
        <v>116</v>
      </c>
    </row>
    <row r="33" spans="1:8" ht="13.5" thickBot="1">
      <c r="A33" s="114" t="s">
        <v>113</v>
      </c>
      <c r="B33" s="118">
        <v>36234</v>
      </c>
      <c r="C33" s="116">
        <v>80</v>
      </c>
      <c r="D33" s="116">
        <v>0</v>
      </c>
      <c r="E33" s="116"/>
      <c r="F33" s="78"/>
      <c r="G33" s="115" t="s">
        <v>111</v>
      </c>
      <c r="H33" s="117"/>
    </row>
    <row r="34" spans="1:8" ht="26.25" thickBot="1">
      <c r="A34" s="114" t="s">
        <v>183</v>
      </c>
      <c r="B34" s="118"/>
      <c r="C34" s="116">
        <v>100</v>
      </c>
      <c r="D34" s="116"/>
      <c r="E34" s="116"/>
      <c r="F34" s="78"/>
      <c r="G34" s="115"/>
      <c r="H34" s="80" t="s">
        <v>244</v>
      </c>
    </row>
    <row r="35" spans="1:8" ht="13.5" thickBot="1">
      <c r="A35" s="127" t="s">
        <v>234</v>
      </c>
      <c r="B35" s="19"/>
      <c r="C35" s="179">
        <v>0.8</v>
      </c>
      <c r="D35" s="179">
        <v>0</v>
      </c>
      <c r="E35" s="21"/>
      <c r="F35" s="20"/>
      <c r="G35" s="21"/>
      <c r="H35" s="128" t="s">
        <v>238</v>
      </c>
    </row>
    <row r="36" spans="1:8" ht="13.5" thickBot="1">
      <c r="A36" s="147" t="s">
        <v>3</v>
      </c>
      <c r="B36" s="9"/>
      <c r="C36" s="159"/>
      <c r="D36" s="159"/>
      <c r="E36" s="21"/>
      <c r="F36" s="20"/>
      <c r="G36" s="21"/>
      <c r="H36" s="120"/>
    </row>
    <row r="37" spans="1:8" ht="12.75">
      <c r="A37" s="215" t="s">
        <v>10</v>
      </c>
      <c r="B37" s="216"/>
      <c r="C37" s="217">
        <v>0.6</v>
      </c>
      <c r="D37" s="217">
        <v>0</v>
      </c>
      <c r="G37" s="17" t="s">
        <v>111</v>
      </c>
      <c r="H37" s="120"/>
    </row>
    <row r="38" spans="1:8" ht="13.5" thickBot="1">
      <c r="A38" s="148"/>
      <c r="B38" s="13"/>
      <c r="C38" s="219">
        <v>0.7</v>
      </c>
      <c r="D38" s="146">
        <v>0</v>
      </c>
      <c r="E38" s="25"/>
      <c r="F38" s="12"/>
      <c r="G38" s="13"/>
      <c r="H38" s="121"/>
    </row>
    <row r="39" spans="1:8" ht="12.75">
      <c r="A39" s="215" t="s">
        <v>13</v>
      </c>
      <c r="B39" s="261">
        <v>37869</v>
      </c>
      <c r="C39" s="217">
        <v>0.45</v>
      </c>
      <c r="D39" s="217">
        <v>0</v>
      </c>
      <c r="G39" s="17" t="s">
        <v>111</v>
      </c>
      <c r="H39" s="120"/>
    </row>
    <row r="40" spans="1:8" ht="12.75">
      <c r="A40" s="275"/>
      <c r="B40" s="125">
        <v>38029</v>
      </c>
      <c r="C40" s="160">
        <v>0.55</v>
      </c>
      <c r="D40" s="160">
        <v>0</v>
      </c>
      <c r="H40" s="151"/>
    </row>
    <row r="41" spans="1:8" ht="13.5" thickBot="1">
      <c r="A41" s="148"/>
      <c r="B41" s="11">
        <v>38065</v>
      </c>
      <c r="C41" s="219">
        <v>0.6</v>
      </c>
      <c r="D41" s="146">
        <v>0</v>
      </c>
      <c r="E41" s="25"/>
      <c r="F41" s="12"/>
      <c r="G41" s="13"/>
      <c r="H41" s="121"/>
    </row>
    <row r="42" spans="1:8" ht="12.75">
      <c r="A42" s="193" t="s">
        <v>43</v>
      </c>
      <c r="B42" s="15">
        <v>38169</v>
      </c>
      <c r="C42" s="160">
        <v>0</v>
      </c>
      <c r="D42" s="157">
        <v>0</v>
      </c>
      <c r="H42" s="279" t="s">
        <v>44</v>
      </c>
    </row>
    <row r="43" spans="1:8" ht="12.75">
      <c r="A43" s="193"/>
      <c r="B43" s="15">
        <v>38275</v>
      </c>
      <c r="C43" s="160">
        <v>0.1</v>
      </c>
      <c r="D43" s="157">
        <v>0</v>
      </c>
      <c r="H43" s="284"/>
    </row>
    <row r="44" spans="1:8" ht="13.5" thickBot="1">
      <c r="A44" s="193"/>
      <c r="B44" s="15"/>
      <c r="C44" s="160">
        <v>0.45</v>
      </c>
      <c r="D44" s="157">
        <v>0</v>
      </c>
      <c r="H44" s="284"/>
    </row>
    <row r="45" spans="1:8" ht="12.75">
      <c r="A45" s="147" t="s">
        <v>48</v>
      </c>
      <c r="B45" s="7">
        <v>38534</v>
      </c>
      <c r="C45" s="23">
        <v>0</v>
      </c>
      <c r="D45" s="23">
        <v>0</v>
      </c>
      <c r="E45" s="23"/>
      <c r="F45" s="8"/>
      <c r="G45" s="9"/>
      <c r="H45" s="120" t="s">
        <v>49</v>
      </c>
    </row>
    <row r="46" spans="1:8" ht="12.75">
      <c r="A46" s="158"/>
      <c r="B46" s="15">
        <v>38548</v>
      </c>
      <c r="C46" s="24">
        <v>40</v>
      </c>
      <c r="D46" s="24">
        <v>0</v>
      </c>
      <c r="H46" s="151" t="s">
        <v>49</v>
      </c>
    </row>
    <row r="47" spans="1:8" ht="12.75">
      <c r="A47" s="158"/>
      <c r="H47" s="151"/>
    </row>
    <row r="48" spans="1:8" ht="13.5" thickBot="1">
      <c r="A48" s="148"/>
      <c r="B48" s="13"/>
      <c r="C48" s="25"/>
      <c r="D48" s="25"/>
      <c r="E48" s="25"/>
      <c r="F48" s="12"/>
      <c r="G48" s="13"/>
      <c r="H48" s="121"/>
    </row>
    <row r="49" spans="1:8" ht="12.75">
      <c r="A49" s="147" t="s">
        <v>51</v>
      </c>
      <c r="B49" s="15">
        <v>38935</v>
      </c>
      <c r="C49" s="24">
        <v>40</v>
      </c>
      <c r="D49" s="23"/>
      <c r="E49" s="23"/>
      <c r="F49" s="8"/>
      <c r="G49" s="9"/>
      <c r="H49" s="120" t="s">
        <v>49</v>
      </c>
    </row>
    <row r="50" spans="1:8" ht="12.75">
      <c r="A50" s="158"/>
      <c r="B50" s="15">
        <v>39141</v>
      </c>
      <c r="C50" s="24">
        <v>80</v>
      </c>
      <c r="H50" s="151" t="s">
        <v>49</v>
      </c>
    </row>
    <row r="51" spans="1:8" ht="13.5" thickBot="1">
      <c r="A51" s="148"/>
      <c r="B51" s="13"/>
      <c r="C51" s="25"/>
      <c r="D51" s="25"/>
      <c r="E51" s="25"/>
      <c r="F51" s="12"/>
      <c r="G51" s="13"/>
      <c r="H51" s="121"/>
    </row>
    <row r="52" spans="1:8" ht="12.75">
      <c r="A52" s="14" t="s">
        <v>71</v>
      </c>
      <c r="B52" s="15">
        <v>39342</v>
      </c>
      <c r="C52" s="24">
        <v>40</v>
      </c>
      <c r="G52" s="17" t="s">
        <v>73</v>
      </c>
      <c r="H52" s="120" t="s">
        <v>49</v>
      </c>
    </row>
    <row r="53" spans="1:8" ht="13.5" thickBot="1">
      <c r="A53" s="148"/>
      <c r="B53" s="11">
        <v>39433</v>
      </c>
      <c r="C53" s="25">
        <v>50</v>
      </c>
      <c r="D53" s="25"/>
      <c r="E53" s="25"/>
      <c r="F53" s="12"/>
      <c r="G53" s="13" t="s">
        <v>73</v>
      </c>
      <c r="H53" s="121" t="s">
        <v>49</v>
      </c>
    </row>
    <row r="54" spans="1:8" ht="13.5" thickBot="1">
      <c r="A54" s="127" t="s">
        <v>76</v>
      </c>
      <c r="B54" s="19">
        <v>39630</v>
      </c>
      <c r="C54" s="25">
        <v>40</v>
      </c>
      <c r="D54" s="179"/>
      <c r="E54" s="21"/>
      <c r="F54" s="20"/>
      <c r="G54" s="21" t="s">
        <v>73</v>
      </c>
      <c r="H54" s="128" t="s">
        <v>49</v>
      </c>
    </row>
    <row r="55" spans="1:8" ht="12.75">
      <c r="A55" s="147" t="s">
        <v>78</v>
      </c>
      <c r="B55" s="7">
        <v>39995</v>
      </c>
      <c r="C55" s="23">
        <v>0</v>
      </c>
      <c r="D55" s="23"/>
      <c r="E55" s="23"/>
      <c r="F55" s="8"/>
      <c r="G55" s="9" t="s">
        <v>77</v>
      </c>
      <c r="H55" s="120" t="s">
        <v>49</v>
      </c>
    </row>
    <row r="56" spans="1:8" ht="13.5" thickBot="1">
      <c r="A56" s="148"/>
      <c r="B56" s="11">
        <v>40065</v>
      </c>
      <c r="C56" s="25">
        <v>5</v>
      </c>
      <c r="D56" s="25"/>
      <c r="E56" s="25"/>
      <c r="F56" s="12"/>
      <c r="G56" s="13" t="s">
        <v>77</v>
      </c>
      <c r="H56" s="121" t="s">
        <v>49</v>
      </c>
    </row>
    <row r="57" spans="1:8" ht="12.75">
      <c r="A57" s="215" t="s">
        <v>63</v>
      </c>
      <c r="B57" s="261">
        <v>40360</v>
      </c>
      <c r="C57" s="218">
        <v>40</v>
      </c>
      <c r="D57" s="217"/>
      <c r="E57" s="216"/>
      <c r="F57" s="356"/>
      <c r="G57" s="216" t="s">
        <v>73</v>
      </c>
      <c r="H57" s="120" t="s">
        <v>49</v>
      </c>
    </row>
    <row r="58" spans="1:8" ht="13.5" thickBot="1">
      <c r="A58" s="278"/>
      <c r="B58" s="357">
        <v>40269</v>
      </c>
      <c r="C58" s="358" t="s">
        <v>69</v>
      </c>
      <c r="D58" s="358"/>
      <c r="E58" s="358"/>
      <c r="F58" s="359"/>
      <c r="G58" s="102"/>
      <c r="H58" s="121"/>
    </row>
    <row r="59" spans="1:8" ht="12.75">
      <c r="A59" s="27"/>
      <c r="B59" s="5"/>
      <c r="C59" s="28"/>
      <c r="D59" s="28"/>
      <c r="E59" s="28"/>
      <c r="F59" s="355"/>
      <c r="G59" s="5"/>
      <c r="H59" s="5"/>
    </row>
    <row r="60" spans="1:8" ht="12.75">
      <c r="A60" s="27"/>
      <c r="B60" s="5"/>
      <c r="C60" s="28"/>
      <c r="D60" s="28"/>
      <c r="E60" s="28"/>
      <c r="F60" s="355"/>
      <c r="G60" s="5"/>
      <c r="H60" s="5"/>
    </row>
  </sheetData>
  <printOptions/>
  <pageMargins left="0.75" right="0.75" top="0.9" bottom="0.82" header="0.5" footer="0.5"/>
  <pageSetup horizontalDpi="300" verticalDpi="300" orientation="landscape" paperSize="9" r:id="rId2"/>
  <headerFooter alignWithMargins="0">
    <oddHeader>&amp;LDate : &amp;D&amp;RFilename : g:\rivops\state\allocatn\&amp;F</oddHeader>
    <oddFooter>&amp;CPage &amp;P</oddFooter>
  </headerFooter>
  <rowBreaks count="1" manualBreakCount="1">
    <brk id="27" max="65535" man="1"/>
  </rowBreaks>
  <drawing r:id="rId1"/>
</worksheet>
</file>

<file path=xl/worksheets/sheet20.xml><?xml version="1.0" encoding="utf-8"?>
<worksheet xmlns="http://schemas.openxmlformats.org/spreadsheetml/2006/main" xmlns:r="http://schemas.openxmlformats.org/officeDocument/2006/relationships">
  <dimension ref="A1:H75"/>
  <sheetViews>
    <sheetView showGridLines="0" workbookViewId="0" topLeftCell="A1">
      <pane ySplit="6" topLeftCell="BM7" activePane="bottomLeft" state="frozen"/>
      <selection pane="topLeft" activeCell="A1" sqref="A1"/>
      <selection pane="bottomLeft" activeCell="E51" sqref="E51"/>
    </sheetView>
  </sheetViews>
  <sheetFormatPr defaultColWidth="9.140625" defaultRowHeight="12.75"/>
  <cols>
    <col min="1" max="1" width="9.140625" style="14" customWidth="1"/>
    <col min="2" max="2" width="10.140625" style="17" customWidth="1"/>
    <col min="3" max="3" width="10.00390625" style="24" customWidth="1"/>
    <col min="4" max="4" width="11.00390625" style="24" customWidth="1"/>
    <col min="5" max="5" width="11.421875" style="24" customWidth="1"/>
    <col min="6" max="6" width="11.140625" style="17" customWidth="1"/>
    <col min="7" max="7" width="12.8515625" style="17" customWidth="1"/>
    <col min="8" max="8" width="54.140625" style="0" customWidth="1"/>
  </cols>
  <sheetData>
    <row r="1" spans="1:8" ht="24" customHeight="1" thickBot="1">
      <c r="A1" s="36" t="s">
        <v>204</v>
      </c>
      <c r="B1" s="2"/>
      <c r="C1" s="22"/>
      <c r="D1" s="22"/>
      <c r="E1" s="22"/>
      <c r="F1" s="2"/>
      <c r="G1" s="2"/>
      <c r="H1" s="3"/>
    </row>
    <row r="2" spans="1:8" ht="15.75" customHeight="1" thickBot="1">
      <c r="A2" s="29" t="s">
        <v>80</v>
      </c>
      <c r="B2" s="33"/>
      <c r="C2" s="34"/>
      <c r="D2" s="34"/>
      <c r="E2" s="34"/>
      <c r="F2" s="33"/>
      <c r="G2" s="33"/>
      <c r="H2" s="38" t="s">
        <v>81</v>
      </c>
    </row>
    <row r="3" spans="1:8" ht="56.25" customHeight="1" thickBot="1">
      <c r="A3" s="6"/>
      <c r="B3" s="2"/>
      <c r="C3" s="22"/>
      <c r="D3" s="22"/>
      <c r="E3" s="22"/>
      <c r="F3" s="2"/>
      <c r="G3" s="2"/>
      <c r="H3" s="3"/>
    </row>
    <row r="4" spans="1:8" ht="15.75" customHeight="1" thickBot="1">
      <c r="A4" s="29" t="s">
        <v>205</v>
      </c>
      <c r="B4" s="33"/>
      <c r="C4" s="34"/>
      <c r="D4" s="34"/>
      <c r="E4" s="34"/>
      <c r="F4" s="33"/>
      <c r="G4" s="33"/>
      <c r="H4" s="38"/>
    </row>
    <row r="5" spans="1:8" s="5" customFormat="1" ht="24">
      <c r="A5" s="39"/>
      <c r="B5" s="40" t="s">
        <v>83</v>
      </c>
      <c r="C5" s="41" t="s">
        <v>84</v>
      </c>
      <c r="D5" s="41" t="s">
        <v>85</v>
      </c>
      <c r="E5" s="51" t="s">
        <v>213</v>
      </c>
      <c r="F5" s="52"/>
      <c r="G5" s="42" t="s">
        <v>86</v>
      </c>
      <c r="H5" s="43"/>
    </row>
    <row r="6" spans="1:8" s="5" customFormat="1" ht="23.25" customHeight="1" thickBot="1">
      <c r="A6" s="44" t="s">
        <v>87</v>
      </c>
      <c r="B6" s="45" t="s">
        <v>86</v>
      </c>
      <c r="C6" s="46" t="s">
        <v>86</v>
      </c>
      <c r="D6" s="46" t="s">
        <v>88</v>
      </c>
      <c r="E6" s="49" t="s">
        <v>214</v>
      </c>
      <c r="F6" s="50" t="s">
        <v>215</v>
      </c>
      <c r="G6" s="47" t="s">
        <v>89</v>
      </c>
      <c r="H6" s="48" t="s">
        <v>90</v>
      </c>
    </row>
    <row r="7" spans="1:8" ht="15.75" customHeight="1" thickBot="1">
      <c r="A7" s="56" t="s">
        <v>91</v>
      </c>
      <c r="B7" s="57">
        <v>29839</v>
      </c>
      <c r="C7" s="58">
        <v>100</v>
      </c>
      <c r="D7" s="58">
        <v>0</v>
      </c>
      <c r="E7" s="58"/>
      <c r="F7" s="59"/>
      <c r="G7" s="60" t="s">
        <v>92</v>
      </c>
      <c r="H7" s="61"/>
    </row>
    <row r="8" spans="1:8" ht="15.75" customHeight="1" thickBot="1">
      <c r="A8" s="56" t="s">
        <v>93</v>
      </c>
      <c r="B8" s="57">
        <v>30203</v>
      </c>
      <c r="C8" s="58">
        <v>100</v>
      </c>
      <c r="D8" s="58">
        <v>0</v>
      </c>
      <c r="E8" s="58"/>
      <c r="F8" s="59"/>
      <c r="G8" s="60" t="s">
        <v>92</v>
      </c>
      <c r="H8" s="61"/>
    </row>
    <row r="9" spans="1:8" ht="15.75" customHeight="1" thickBot="1">
      <c r="A9" s="56" t="s">
        <v>95</v>
      </c>
      <c r="B9" s="57">
        <v>30524</v>
      </c>
      <c r="C9" s="58">
        <v>100</v>
      </c>
      <c r="D9" s="58">
        <v>0</v>
      </c>
      <c r="E9" s="58"/>
      <c r="F9" s="59"/>
      <c r="G9" s="60" t="s">
        <v>92</v>
      </c>
      <c r="H9" s="61"/>
    </row>
    <row r="10" spans="1:8" ht="15.75" customHeight="1" thickBot="1">
      <c r="A10" s="56" t="s">
        <v>96</v>
      </c>
      <c r="B10" s="57">
        <v>30882</v>
      </c>
      <c r="C10" s="58">
        <v>100</v>
      </c>
      <c r="D10" s="58">
        <v>0</v>
      </c>
      <c r="E10" s="58"/>
      <c r="F10" s="59"/>
      <c r="G10" s="60" t="s">
        <v>92</v>
      </c>
      <c r="H10" s="61"/>
    </row>
    <row r="11" spans="1:8" ht="15.75" customHeight="1" thickBot="1">
      <c r="A11" s="74" t="s">
        <v>97</v>
      </c>
      <c r="B11" s="75">
        <v>31261</v>
      </c>
      <c r="C11" s="76">
        <v>100</v>
      </c>
      <c r="D11" s="76">
        <v>0</v>
      </c>
      <c r="E11" s="76"/>
      <c r="F11" s="77"/>
      <c r="G11" s="78" t="s">
        <v>92</v>
      </c>
      <c r="H11" s="79"/>
    </row>
    <row r="12" spans="1:8" ht="15.75" customHeight="1" thickBot="1">
      <c r="A12" s="56" t="s">
        <v>98</v>
      </c>
      <c r="B12" s="57">
        <v>31667</v>
      </c>
      <c r="C12" s="58">
        <v>100</v>
      </c>
      <c r="D12" s="58">
        <v>0</v>
      </c>
      <c r="E12" s="58"/>
      <c r="F12" s="59"/>
      <c r="G12" s="60" t="s">
        <v>92</v>
      </c>
      <c r="H12" s="61"/>
    </row>
    <row r="13" spans="1:8" ht="15.75" customHeight="1" thickBot="1">
      <c r="A13" s="74" t="s">
        <v>99</v>
      </c>
      <c r="B13" s="75">
        <v>32029</v>
      </c>
      <c r="C13" s="76">
        <v>100</v>
      </c>
      <c r="D13" s="76">
        <v>0</v>
      </c>
      <c r="E13" s="76"/>
      <c r="F13" s="77"/>
      <c r="G13" s="78" t="s">
        <v>92</v>
      </c>
      <c r="H13" s="79"/>
    </row>
    <row r="14" spans="1:8" ht="15.75" customHeight="1" thickBot="1">
      <c r="A14" s="56" t="s">
        <v>100</v>
      </c>
      <c r="B14" s="57">
        <v>32420</v>
      </c>
      <c r="C14" s="58">
        <v>100</v>
      </c>
      <c r="D14" s="58">
        <v>0</v>
      </c>
      <c r="E14" s="58"/>
      <c r="F14" s="59"/>
      <c r="G14" s="60" t="s">
        <v>92</v>
      </c>
      <c r="H14" s="61"/>
    </row>
    <row r="15" spans="1:8" ht="15.75" customHeight="1" thickBot="1">
      <c r="A15" s="74" t="s">
        <v>101</v>
      </c>
      <c r="B15" s="75">
        <v>32786</v>
      </c>
      <c r="C15" s="76">
        <v>100</v>
      </c>
      <c r="D15" s="76">
        <v>0</v>
      </c>
      <c r="E15" s="76"/>
      <c r="F15" s="77"/>
      <c r="G15" s="78" t="s">
        <v>92</v>
      </c>
      <c r="H15" s="79"/>
    </row>
    <row r="16" spans="1:8" ht="15.75" customHeight="1">
      <c r="A16" s="56" t="s">
        <v>102</v>
      </c>
      <c r="B16" s="57">
        <v>33170</v>
      </c>
      <c r="C16" s="58">
        <v>100</v>
      </c>
      <c r="D16" s="58">
        <v>0</v>
      </c>
      <c r="E16" s="58"/>
      <c r="F16" s="59"/>
      <c r="G16" s="60" t="s">
        <v>92</v>
      </c>
      <c r="H16" s="61" t="s">
        <v>206</v>
      </c>
    </row>
    <row r="17" spans="1:8" ht="15.75" customHeight="1">
      <c r="A17" s="62"/>
      <c r="B17" s="63">
        <v>33170</v>
      </c>
      <c r="C17" s="64">
        <v>35</v>
      </c>
      <c r="D17" s="64">
        <v>0</v>
      </c>
      <c r="E17" s="64"/>
      <c r="F17" s="65"/>
      <c r="G17" s="66" t="s">
        <v>92</v>
      </c>
      <c r="H17" s="67" t="s">
        <v>119</v>
      </c>
    </row>
    <row r="18" spans="1:8" ht="15.75" customHeight="1" thickBot="1">
      <c r="A18" s="68"/>
      <c r="B18" s="69">
        <v>33242</v>
      </c>
      <c r="C18" s="70">
        <v>40</v>
      </c>
      <c r="D18" s="70">
        <v>0</v>
      </c>
      <c r="E18" s="70"/>
      <c r="F18" s="71"/>
      <c r="G18" s="72" t="s">
        <v>92</v>
      </c>
      <c r="H18" s="73" t="s">
        <v>119</v>
      </c>
    </row>
    <row r="19" spans="1:8" ht="15.75" customHeight="1">
      <c r="A19" s="56" t="s">
        <v>103</v>
      </c>
      <c r="B19" s="57">
        <v>33507</v>
      </c>
      <c r="C19" s="58">
        <v>100</v>
      </c>
      <c r="D19" s="58">
        <v>0</v>
      </c>
      <c r="E19" s="58"/>
      <c r="F19" s="59"/>
      <c r="G19" s="60" t="s">
        <v>104</v>
      </c>
      <c r="H19" s="61" t="s">
        <v>121</v>
      </c>
    </row>
    <row r="20" spans="1:8" ht="15.75" customHeight="1">
      <c r="A20" s="62"/>
      <c r="B20" s="63">
        <v>33507</v>
      </c>
      <c r="C20" s="64">
        <v>11</v>
      </c>
      <c r="D20" s="64">
        <v>0</v>
      </c>
      <c r="E20" s="64"/>
      <c r="F20" s="65"/>
      <c r="G20" s="66" t="s">
        <v>104</v>
      </c>
      <c r="H20" s="67" t="s">
        <v>119</v>
      </c>
    </row>
    <row r="21" spans="1:8" ht="15.75" customHeight="1" thickBot="1">
      <c r="A21" s="68"/>
      <c r="B21" s="69">
        <v>33596</v>
      </c>
      <c r="C21" s="70">
        <v>15</v>
      </c>
      <c r="D21" s="70">
        <v>0</v>
      </c>
      <c r="E21" s="70"/>
      <c r="F21" s="71"/>
      <c r="G21" s="72" t="s">
        <v>104</v>
      </c>
      <c r="H21" s="73" t="s">
        <v>119</v>
      </c>
    </row>
    <row r="22" spans="1:8" ht="15.75" customHeight="1">
      <c r="A22" s="56" t="s">
        <v>105</v>
      </c>
      <c r="B22" s="57">
        <v>33879</v>
      </c>
      <c r="C22" s="58">
        <v>100</v>
      </c>
      <c r="D22" s="58">
        <v>0</v>
      </c>
      <c r="E22" s="58"/>
      <c r="F22" s="59"/>
      <c r="G22" s="60" t="s">
        <v>104</v>
      </c>
      <c r="H22" s="61" t="s">
        <v>120</v>
      </c>
    </row>
    <row r="23" spans="1:8" ht="15.75" customHeight="1">
      <c r="A23" s="62"/>
      <c r="B23" s="63">
        <v>33879</v>
      </c>
      <c r="C23" s="64">
        <v>5</v>
      </c>
      <c r="D23" s="64">
        <v>0</v>
      </c>
      <c r="E23" s="64"/>
      <c r="F23" s="65"/>
      <c r="G23" s="66" t="s">
        <v>104</v>
      </c>
      <c r="H23" s="67" t="s">
        <v>119</v>
      </c>
    </row>
    <row r="24" spans="1:8" ht="16.5" customHeight="1">
      <c r="A24" s="62"/>
      <c r="B24" s="63">
        <v>33961</v>
      </c>
      <c r="C24" s="64">
        <v>15</v>
      </c>
      <c r="D24" s="64">
        <v>0</v>
      </c>
      <c r="E24" s="64"/>
      <c r="F24" s="65"/>
      <c r="G24" s="66" t="s">
        <v>104</v>
      </c>
      <c r="H24" s="67" t="s">
        <v>119</v>
      </c>
    </row>
    <row r="25" spans="1:8" ht="15.75" customHeight="1">
      <c r="A25" s="62"/>
      <c r="B25" s="63">
        <v>34003</v>
      </c>
      <c r="C25" s="64">
        <v>20</v>
      </c>
      <c r="D25" s="64">
        <v>0</v>
      </c>
      <c r="E25" s="64"/>
      <c r="F25" s="65"/>
      <c r="G25" s="66" t="s">
        <v>104</v>
      </c>
      <c r="H25" s="67" t="s">
        <v>119</v>
      </c>
    </row>
    <row r="26" spans="1:8" ht="15.75" customHeight="1" thickBot="1">
      <c r="A26" s="68"/>
      <c r="B26" s="69">
        <v>34017</v>
      </c>
      <c r="C26" s="70">
        <v>22</v>
      </c>
      <c r="D26" s="70">
        <v>0</v>
      </c>
      <c r="E26" s="70"/>
      <c r="F26" s="71"/>
      <c r="G26" s="72" t="s">
        <v>104</v>
      </c>
      <c r="H26" s="73" t="s">
        <v>119</v>
      </c>
    </row>
    <row r="27" spans="1:8" ht="15.75" customHeight="1">
      <c r="A27" s="56" t="s">
        <v>106</v>
      </c>
      <c r="B27" s="57">
        <v>34275</v>
      </c>
      <c r="C27" s="58">
        <v>100</v>
      </c>
      <c r="D27" s="58">
        <v>0</v>
      </c>
      <c r="E27" s="58"/>
      <c r="F27" s="59"/>
      <c r="G27" s="60" t="s">
        <v>104</v>
      </c>
      <c r="H27" s="61" t="s">
        <v>120</v>
      </c>
    </row>
    <row r="28" spans="1:8" ht="16.5" customHeight="1">
      <c r="A28" s="62"/>
      <c r="B28" s="63">
        <v>34275</v>
      </c>
      <c r="C28" s="64">
        <v>0</v>
      </c>
      <c r="D28" s="64">
        <v>0</v>
      </c>
      <c r="E28" s="64"/>
      <c r="F28" s="65"/>
      <c r="G28" s="66" t="s">
        <v>104</v>
      </c>
      <c r="H28" s="67" t="s">
        <v>119</v>
      </c>
    </row>
    <row r="29" spans="1:8" ht="15.75" customHeight="1">
      <c r="A29" s="62"/>
      <c r="B29" s="63">
        <v>34318</v>
      </c>
      <c r="C29" s="64">
        <v>4</v>
      </c>
      <c r="D29" s="64">
        <v>0</v>
      </c>
      <c r="E29" s="64"/>
      <c r="F29" s="65"/>
      <c r="G29" s="66" t="s">
        <v>104</v>
      </c>
      <c r="H29" s="67" t="s">
        <v>207</v>
      </c>
    </row>
    <row r="30" spans="1:8" ht="15.75" customHeight="1" thickBot="1">
      <c r="A30" s="68"/>
      <c r="B30" s="69">
        <v>34341</v>
      </c>
      <c r="C30" s="70">
        <v>7</v>
      </c>
      <c r="D30" s="70">
        <v>0</v>
      </c>
      <c r="E30" s="70"/>
      <c r="F30" s="71"/>
      <c r="G30" s="72" t="s">
        <v>104</v>
      </c>
      <c r="H30" s="73" t="s">
        <v>119</v>
      </c>
    </row>
    <row r="31" spans="1:8" ht="15.75" customHeight="1">
      <c r="A31" s="56" t="s">
        <v>108</v>
      </c>
      <c r="B31" s="57">
        <v>34607</v>
      </c>
      <c r="C31" s="58">
        <v>0</v>
      </c>
      <c r="D31" s="58">
        <v>0</v>
      </c>
      <c r="E31" s="58"/>
      <c r="F31" s="59"/>
      <c r="G31" s="60" t="s">
        <v>104</v>
      </c>
      <c r="H31" s="61" t="s">
        <v>120</v>
      </c>
    </row>
    <row r="32" spans="1:8" ht="15.75" customHeight="1">
      <c r="A32" s="62"/>
      <c r="B32" s="63">
        <v>34607</v>
      </c>
      <c r="C32" s="64">
        <v>0</v>
      </c>
      <c r="D32" s="64">
        <v>0</v>
      </c>
      <c r="E32" s="64"/>
      <c r="F32" s="65"/>
      <c r="G32" s="66" t="s">
        <v>104</v>
      </c>
      <c r="H32" s="67" t="s">
        <v>119</v>
      </c>
    </row>
    <row r="33" spans="1:8" ht="15.75" customHeight="1" thickBot="1">
      <c r="A33" s="62"/>
      <c r="B33" s="63">
        <v>34785</v>
      </c>
      <c r="C33" s="64">
        <v>0</v>
      </c>
      <c r="D33" s="64">
        <v>100</v>
      </c>
      <c r="E33" s="64"/>
      <c r="F33" s="65"/>
      <c r="G33" s="66" t="s">
        <v>104</v>
      </c>
      <c r="H33" s="67" t="s">
        <v>208</v>
      </c>
    </row>
    <row r="34" spans="1:8" ht="15.75" customHeight="1">
      <c r="A34" s="56" t="s">
        <v>109</v>
      </c>
      <c r="B34" s="57">
        <v>34971</v>
      </c>
      <c r="C34" s="58">
        <v>100</v>
      </c>
      <c r="D34" s="58">
        <v>0</v>
      </c>
      <c r="E34" s="58"/>
      <c r="F34" s="59"/>
      <c r="G34" s="60" t="s">
        <v>104</v>
      </c>
      <c r="H34" s="61" t="s">
        <v>120</v>
      </c>
    </row>
    <row r="35" spans="1:8" ht="15.75" customHeight="1">
      <c r="A35" s="62"/>
      <c r="B35" s="63">
        <v>34971</v>
      </c>
      <c r="C35" s="64">
        <v>0</v>
      </c>
      <c r="D35" s="64">
        <v>0</v>
      </c>
      <c r="E35" s="64"/>
      <c r="F35" s="65"/>
      <c r="G35" s="66" t="s">
        <v>104</v>
      </c>
      <c r="H35" s="67" t="s">
        <v>119</v>
      </c>
    </row>
    <row r="36" spans="1:8" ht="15.75" customHeight="1" thickBot="1">
      <c r="A36" s="68"/>
      <c r="B36" s="69">
        <v>35034</v>
      </c>
      <c r="C36" s="70">
        <v>5</v>
      </c>
      <c r="D36" s="70">
        <v>0</v>
      </c>
      <c r="E36" s="70"/>
      <c r="F36" s="71"/>
      <c r="G36" s="72" t="s">
        <v>104</v>
      </c>
      <c r="H36" s="73" t="s">
        <v>119</v>
      </c>
    </row>
    <row r="37" spans="1:8" ht="15.75" customHeight="1">
      <c r="A37" s="56" t="s">
        <v>110</v>
      </c>
      <c r="B37" s="57">
        <v>35415</v>
      </c>
      <c r="C37" s="58">
        <v>100</v>
      </c>
      <c r="D37" s="58">
        <v>0</v>
      </c>
      <c r="E37" s="58"/>
      <c r="F37" s="59"/>
      <c r="G37" s="60" t="s">
        <v>104</v>
      </c>
      <c r="H37" s="61" t="s">
        <v>120</v>
      </c>
    </row>
    <row r="38" spans="1:8" ht="15.75" customHeight="1" thickBot="1">
      <c r="A38" s="68"/>
      <c r="B38" s="69">
        <v>35415</v>
      </c>
      <c r="C38" s="70">
        <v>65</v>
      </c>
      <c r="D38" s="70">
        <v>0</v>
      </c>
      <c r="E38" s="70"/>
      <c r="F38" s="71"/>
      <c r="G38" s="72" t="s">
        <v>104</v>
      </c>
      <c r="H38" s="73" t="s">
        <v>119</v>
      </c>
    </row>
    <row r="39" spans="1:8" ht="15.75" customHeight="1">
      <c r="A39" s="56" t="s">
        <v>112</v>
      </c>
      <c r="B39" s="57">
        <v>35718</v>
      </c>
      <c r="C39" s="112" t="s">
        <v>131</v>
      </c>
      <c r="D39" s="58"/>
      <c r="E39" s="106"/>
      <c r="F39" s="59"/>
      <c r="G39" s="60" t="s">
        <v>132</v>
      </c>
      <c r="H39" s="61" t="s">
        <v>120</v>
      </c>
    </row>
    <row r="40" spans="1:8" ht="15.75" customHeight="1" thickBot="1">
      <c r="A40" s="68"/>
      <c r="B40" s="69">
        <v>35718</v>
      </c>
      <c r="C40" s="113" t="s">
        <v>209</v>
      </c>
      <c r="D40" s="70"/>
      <c r="E40" s="110">
        <v>0.2</v>
      </c>
      <c r="F40" s="71"/>
      <c r="G40" s="72" t="s">
        <v>132</v>
      </c>
      <c r="H40" s="73" t="s">
        <v>119</v>
      </c>
    </row>
    <row r="41" spans="1:8" s="5" customFormat="1" ht="12.75">
      <c r="A41" s="56" t="s">
        <v>113</v>
      </c>
      <c r="B41" s="57">
        <v>36110</v>
      </c>
      <c r="C41" s="112" t="s">
        <v>131</v>
      </c>
      <c r="D41" s="58"/>
      <c r="E41" s="106"/>
      <c r="F41" s="59"/>
      <c r="G41" s="60" t="s">
        <v>132</v>
      </c>
      <c r="H41" s="61" t="s">
        <v>120</v>
      </c>
    </row>
    <row r="42" spans="1:8" s="5" customFormat="1" ht="13.5" thickBot="1">
      <c r="A42" s="68"/>
      <c r="B42" s="69">
        <v>36110</v>
      </c>
      <c r="C42" s="113" t="s">
        <v>133</v>
      </c>
      <c r="D42" s="70"/>
      <c r="E42" s="110">
        <v>0.4</v>
      </c>
      <c r="F42" s="71"/>
      <c r="G42" s="72" t="s">
        <v>132</v>
      </c>
      <c r="H42" s="73" t="s">
        <v>119</v>
      </c>
    </row>
    <row r="43" spans="1:8" s="5" customFormat="1" ht="12.75">
      <c r="A43" s="56" t="s">
        <v>183</v>
      </c>
      <c r="B43" s="57">
        <v>36490</v>
      </c>
      <c r="C43" s="112" t="s">
        <v>131</v>
      </c>
      <c r="D43" s="58"/>
      <c r="E43" s="106">
        <v>1</v>
      </c>
      <c r="F43" s="59"/>
      <c r="G43" s="60" t="s">
        <v>132</v>
      </c>
      <c r="H43" s="61" t="s">
        <v>120</v>
      </c>
    </row>
    <row r="44" spans="1:8" s="5" customFormat="1" ht="13.5" thickBot="1">
      <c r="A44" s="68"/>
      <c r="B44" s="69">
        <v>36490</v>
      </c>
      <c r="C44" s="113" t="s">
        <v>221</v>
      </c>
      <c r="D44" s="70"/>
      <c r="E44" s="110">
        <v>1</v>
      </c>
      <c r="F44" s="143">
        <v>0.4</v>
      </c>
      <c r="G44" s="72" t="s">
        <v>132</v>
      </c>
      <c r="H44" s="73" t="s">
        <v>119</v>
      </c>
    </row>
    <row r="45" spans="1:8" s="5" customFormat="1" ht="12.75">
      <c r="A45" s="147" t="s">
        <v>234</v>
      </c>
      <c r="B45" s="7">
        <v>36800</v>
      </c>
      <c r="C45" s="112" t="s">
        <v>131</v>
      </c>
      <c r="D45" s="9"/>
      <c r="E45" s="106">
        <v>1</v>
      </c>
      <c r="F45" s="159">
        <f>136.466/264</f>
        <v>0.5169166666666667</v>
      </c>
      <c r="G45" s="9"/>
      <c r="H45" s="120"/>
    </row>
    <row r="46" spans="1:8" s="5" customFormat="1" ht="12.75">
      <c r="A46" s="158"/>
      <c r="B46" s="15"/>
      <c r="C46" s="194" t="s">
        <v>2</v>
      </c>
      <c r="D46" s="17"/>
      <c r="E46" s="107">
        <v>1</v>
      </c>
      <c r="F46" s="16"/>
      <c r="G46" s="17"/>
      <c r="H46" s="151"/>
    </row>
    <row r="47" spans="1:8" s="5" customFormat="1" ht="12.75">
      <c r="A47" s="158"/>
      <c r="B47" s="15">
        <v>36868</v>
      </c>
      <c r="C47" s="194" t="s">
        <v>131</v>
      </c>
      <c r="D47" s="17"/>
      <c r="E47" s="107">
        <v>1</v>
      </c>
      <c r="F47" s="16"/>
      <c r="G47" s="17"/>
      <c r="H47" s="151"/>
    </row>
    <row r="48" spans="1:8" s="5" customFormat="1" ht="13.5" thickBot="1">
      <c r="A48" s="148"/>
      <c r="B48" s="11"/>
      <c r="C48" s="113" t="s">
        <v>1</v>
      </c>
      <c r="D48" s="13"/>
      <c r="E48" s="110">
        <v>1</v>
      </c>
      <c r="F48" s="12"/>
      <c r="G48" s="13"/>
      <c r="H48" s="121"/>
    </row>
    <row r="49" spans="1:8" s="5" customFormat="1" ht="13.5" thickBot="1">
      <c r="A49" s="349" t="s">
        <v>3</v>
      </c>
      <c r="B49" s="339" t="s">
        <v>65</v>
      </c>
      <c r="C49" s="339"/>
      <c r="D49" s="339"/>
      <c r="E49" s="339"/>
      <c r="F49" s="339"/>
      <c r="G49" s="339"/>
      <c r="H49" s="337"/>
    </row>
    <row r="50" spans="1:5" s="5" customFormat="1" ht="12.75">
      <c r="A50" s="27"/>
      <c r="C50" s="28"/>
      <c r="D50" s="28"/>
      <c r="E50" s="28"/>
    </row>
    <row r="51" spans="1:5" s="5" customFormat="1" ht="12.75">
      <c r="A51" s="27"/>
      <c r="C51" s="28"/>
      <c r="D51" s="28"/>
      <c r="E51" s="28"/>
    </row>
    <row r="52" spans="1:5" s="5" customFormat="1" ht="12.75">
      <c r="A52" s="27"/>
      <c r="C52" s="28"/>
      <c r="D52" s="28"/>
      <c r="E52" s="28"/>
    </row>
    <row r="53" spans="1:5" s="5" customFormat="1" ht="12.75">
      <c r="A53" s="27"/>
      <c r="C53" s="28"/>
      <c r="D53" s="28"/>
      <c r="E53" s="28"/>
    </row>
    <row r="54" spans="1:5" s="5" customFormat="1" ht="12.75">
      <c r="A54" s="27"/>
      <c r="C54" s="28"/>
      <c r="D54" s="28"/>
      <c r="E54" s="28"/>
    </row>
    <row r="55" spans="1:5" s="5" customFormat="1" ht="12.75">
      <c r="A55" s="27"/>
      <c r="C55" s="28"/>
      <c r="D55" s="28"/>
      <c r="E55" s="28"/>
    </row>
    <row r="56" spans="1:5" s="5" customFormat="1" ht="12.75">
      <c r="A56" s="27"/>
      <c r="C56" s="28"/>
      <c r="D56" s="28"/>
      <c r="E56" s="28"/>
    </row>
    <row r="57" spans="1:5" s="5" customFormat="1" ht="12.75">
      <c r="A57" s="27"/>
      <c r="C57" s="28"/>
      <c r="D57" s="28"/>
      <c r="E57" s="28"/>
    </row>
    <row r="58" spans="1:5" s="5" customFormat="1" ht="12.75">
      <c r="A58" s="27"/>
      <c r="C58" s="28"/>
      <c r="D58" s="28"/>
      <c r="E58" s="28"/>
    </row>
    <row r="59" spans="1:5" s="5" customFormat="1" ht="12.75">
      <c r="A59" s="27"/>
      <c r="C59" s="28"/>
      <c r="D59" s="28"/>
      <c r="E59" s="28"/>
    </row>
    <row r="60" spans="1:5" s="5" customFormat="1" ht="12.75">
      <c r="A60" s="27"/>
      <c r="C60" s="28"/>
      <c r="D60" s="28"/>
      <c r="E60" s="28"/>
    </row>
    <row r="61" spans="1:5" s="5" customFormat="1" ht="12.75">
      <c r="A61" s="27"/>
      <c r="C61" s="28"/>
      <c r="D61" s="28"/>
      <c r="E61" s="28"/>
    </row>
    <row r="62" spans="1:5" s="5" customFormat="1" ht="12.75">
      <c r="A62" s="27"/>
      <c r="C62" s="28"/>
      <c r="D62" s="28"/>
      <c r="E62" s="28"/>
    </row>
    <row r="63" spans="1:5" s="5" customFormat="1" ht="12.75">
      <c r="A63" s="27"/>
      <c r="C63" s="28"/>
      <c r="D63" s="28"/>
      <c r="E63" s="28"/>
    </row>
    <row r="64" spans="1:5" s="5" customFormat="1" ht="12.75">
      <c r="A64" s="27"/>
      <c r="C64" s="28"/>
      <c r="D64" s="28"/>
      <c r="E64" s="28"/>
    </row>
    <row r="65" spans="1:5" s="5" customFormat="1" ht="12.75">
      <c r="A65" s="27"/>
      <c r="C65" s="28"/>
      <c r="D65" s="28"/>
      <c r="E65" s="28"/>
    </row>
    <row r="66" spans="1:5" s="5" customFormat="1" ht="12.75">
      <c r="A66" s="27"/>
      <c r="C66" s="28"/>
      <c r="D66" s="28"/>
      <c r="E66" s="28"/>
    </row>
    <row r="67" spans="1:5" s="5" customFormat="1" ht="12.75">
      <c r="A67" s="27"/>
      <c r="C67" s="28"/>
      <c r="D67" s="28"/>
      <c r="E67" s="28"/>
    </row>
    <row r="68" spans="1:5" s="5" customFormat="1" ht="12.75">
      <c r="A68" s="27"/>
      <c r="C68" s="28"/>
      <c r="D68" s="28"/>
      <c r="E68" s="28"/>
    </row>
    <row r="69" spans="1:5" s="5" customFormat="1" ht="12.75">
      <c r="A69" s="27"/>
      <c r="C69" s="28"/>
      <c r="D69" s="28"/>
      <c r="E69" s="28"/>
    </row>
    <row r="70" spans="1:5" s="5" customFormat="1" ht="12.75">
      <c r="A70" s="27"/>
      <c r="C70" s="28"/>
      <c r="D70" s="28"/>
      <c r="E70" s="28"/>
    </row>
    <row r="71" spans="1:5" s="5" customFormat="1" ht="12.75">
      <c r="A71" s="27"/>
      <c r="C71" s="28"/>
      <c r="D71" s="28"/>
      <c r="E71" s="28"/>
    </row>
    <row r="72" spans="1:8" ht="12.75">
      <c r="A72" s="27"/>
      <c r="B72" s="5"/>
      <c r="C72" s="28"/>
      <c r="D72" s="28"/>
      <c r="E72" s="28"/>
      <c r="F72" s="5"/>
      <c r="G72" s="5"/>
      <c r="H72" s="5"/>
    </row>
    <row r="73" spans="1:8" ht="12.75">
      <c r="A73" s="27"/>
      <c r="B73" s="5"/>
      <c r="C73" s="28"/>
      <c r="D73" s="28"/>
      <c r="E73" s="28"/>
      <c r="F73" s="5"/>
      <c r="G73" s="5"/>
      <c r="H73" s="5"/>
    </row>
    <row r="74" spans="1:8" ht="12.75">
      <c r="A74" s="27"/>
      <c r="B74" s="5"/>
      <c r="C74" s="28"/>
      <c r="D74" s="28"/>
      <c r="E74" s="28"/>
      <c r="F74" s="5"/>
      <c r="G74" s="5"/>
      <c r="H74" s="5"/>
    </row>
    <row r="75" spans="1:8" ht="12.75">
      <c r="A75" s="27"/>
      <c r="B75" s="5"/>
      <c r="C75" s="28"/>
      <c r="D75" s="28"/>
      <c r="E75" s="28"/>
      <c r="F75" s="5"/>
      <c r="G75" s="5"/>
      <c r="H75" s="5"/>
    </row>
  </sheetData>
  <mergeCells count="1">
    <mergeCell ref="B49:H49"/>
  </mergeCells>
  <printOptions/>
  <pageMargins left="0.75" right="0.75" top="0.9" bottom="1.03" header="0.5" footer="0.5"/>
  <pageSetup horizontalDpi="300" verticalDpi="300" orientation="landscape" paperSize="9" r:id="rId2"/>
  <headerFooter alignWithMargins="0">
    <oddHeader>&amp;LDate : &amp;D&amp;RFilename : g:\rivops\state\allocatn\&amp;F</oddHeader>
    <oddFooter>&amp;CPage &amp;P</oddFooter>
  </headerFooter>
  <drawing r:id="rId1"/>
</worksheet>
</file>

<file path=xl/worksheets/sheet21.xml><?xml version="1.0" encoding="utf-8"?>
<worksheet xmlns="http://schemas.openxmlformats.org/spreadsheetml/2006/main" xmlns:r="http://schemas.openxmlformats.org/officeDocument/2006/relationships">
  <dimension ref="A1:H20"/>
  <sheetViews>
    <sheetView showGridLines="0" workbookViewId="0" topLeftCell="A1">
      <pane xSplit="1" ySplit="6" topLeftCell="B7" activePane="bottomRight" state="frozen"/>
      <selection pane="topLeft" activeCell="A1" sqref="A1"/>
      <selection pane="topRight" activeCell="B1" sqref="B1"/>
      <selection pane="bottomLeft" activeCell="A7" sqref="A7"/>
      <selection pane="bottomRight" activeCell="F24" sqref="F24"/>
    </sheetView>
  </sheetViews>
  <sheetFormatPr defaultColWidth="9.140625" defaultRowHeight="12.75"/>
  <cols>
    <col min="1" max="1" width="9.140625" style="14" customWidth="1"/>
    <col min="2" max="2" width="10.140625" style="17" customWidth="1"/>
    <col min="3" max="3" width="10.00390625" style="24" customWidth="1"/>
    <col min="4" max="4" width="11.00390625" style="24" customWidth="1"/>
    <col min="5" max="5" width="11.421875" style="24" customWidth="1"/>
    <col min="6" max="6" width="12.00390625" style="17" customWidth="1"/>
    <col min="7" max="7" width="12.8515625" style="17" customWidth="1"/>
    <col min="8" max="8" width="54.140625" style="0" customWidth="1"/>
  </cols>
  <sheetData>
    <row r="1" spans="1:8" ht="24" customHeight="1" thickBot="1">
      <c r="A1" s="36" t="s">
        <v>210</v>
      </c>
      <c r="B1" s="2"/>
      <c r="C1" s="22"/>
      <c r="D1" s="22"/>
      <c r="E1" s="22"/>
      <c r="F1" s="2"/>
      <c r="G1" s="2"/>
      <c r="H1" s="3"/>
    </row>
    <row r="2" spans="1:8" ht="15.75" customHeight="1" thickBot="1">
      <c r="A2" s="29" t="s">
        <v>80</v>
      </c>
      <c r="B2" s="33"/>
      <c r="C2" s="34"/>
      <c r="D2" s="34"/>
      <c r="E2" s="34"/>
      <c r="F2" s="33"/>
      <c r="G2" s="33"/>
      <c r="H2" s="38" t="s">
        <v>81</v>
      </c>
    </row>
    <row r="3" spans="1:8" ht="54" customHeight="1" thickBot="1">
      <c r="A3" s="6"/>
      <c r="B3" s="2"/>
      <c r="C3" s="22"/>
      <c r="D3" s="22"/>
      <c r="E3" s="22"/>
      <c r="F3" s="2"/>
      <c r="G3" s="2"/>
      <c r="H3" s="3"/>
    </row>
    <row r="4" spans="1:8" ht="15.75" customHeight="1" thickBot="1">
      <c r="A4" s="29" t="s">
        <v>211</v>
      </c>
      <c r="B4" s="33"/>
      <c r="C4" s="34"/>
      <c r="D4" s="34"/>
      <c r="E4" s="34"/>
      <c r="F4" s="33"/>
      <c r="G4" s="33"/>
      <c r="H4" s="38"/>
    </row>
    <row r="5" spans="1:8" s="5" customFormat="1" ht="24">
      <c r="A5" s="39"/>
      <c r="B5" s="40" t="s">
        <v>83</v>
      </c>
      <c r="C5" s="41" t="s">
        <v>84</v>
      </c>
      <c r="D5" s="41" t="s">
        <v>85</v>
      </c>
      <c r="E5" s="51" t="s">
        <v>213</v>
      </c>
      <c r="F5" s="52"/>
      <c r="G5" s="42" t="s">
        <v>86</v>
      </c>
      <c r="H5" s="43"/>
    </row>
    <row r="6" spans="1:8" s="5" customFormat="1" ht="23.25" customHeight="1" thickBot="1">
      <c r="A6" s="44" t="s">
        <v>87</v>
      </c>
      <c r="B6" s="45" t="s">
        <v>86</v>
      </c>
      <c r="C6" s="46" t="s">
        <v>86</v>
      </c>
      <c r="D6" s="46" t="s">
        <v>88</v>
      </c>
      <c r="E6" s="49" t="s">
        <v>214</v>
      </c>
      <c r="F6" s="50" t="s">
        <v>215</v>
      </c>
      <c r="G6" s="47" t="s">
        <v>89</v>
      </c>
      <c r="H6" s="48" t="s">
        <v>90</v>
      </c>
    </row>
    <row r="7" spans="1:8" ht="12.75">
      <c r="A7" s="147" t="s">
        <v>13</v>
      </c>
      <c r="B7" s="7"/>
      <c r="C7" s="285">
        <v>0.9</v>
      </c>
      <c r="D7" s="9"/>
      <c r="E7" s="159">
        <v>0</v>
      </c>
      <c r="F7" s="159">
        <v>0</v>
      </c>
      <c r="G7" s="9" t="s">
        <v>111</v>
      </c>
      <c r="H7" s="279" t="s">
        <v>47</v>
      </c>
    </row>
    <row r="8" spans="1:8" ht="12.75">
      <c r="A8" s="158"/>
      <c r="B8" s="15"/>
      <c r="C8" s="17"/>
      <c r="D8" s="17"/>
      <c r="E8" s="17"/>
      <c r="F8" s="16"/>
      <c r="H8" s="151"/>
    </row>
    <row r="9" spans="1:8" ht="13.5" thickBot="1">
      <c r="A9" s="148"/>
      <c r="B9" s="11"/>
      <c r="C9" s="13"/>
      <c r="D9" s="13"/>
      <c r="E9" s="13"/>
      <c r="F9" s="12"/>
      <c r="G9" s="13"/>
      <c r="H9" s="121"/>
    </row>
    <row r="10" spans="1:8" ht="12.75">
      <c r="A10" s="147" t="s">
        <v>42</v>
      </c>
      <c r="B10" s="7">
        <v>38243</v>
      </c>
      <c r="C10" s="285">
        <v>0.2</v>
      </c>
      <c r="D10" s="9"/>
      <c r="E10" s="159">
        <v>0</v>
      </c>
      <c r="F10" s="159"/>
      <c r="G10" s="9" t="s">
        <v>111</v>
      </c>
      <c r="H10" s="294" t="s">
        <v>47</v>
      </c>
    </row>
    <row r="11" spans="1:8" ht="12.75">
      <c r="A11" s="158"/>
      <c r="B11" s="15">
        <v>38302</v>
      </c>
      <c r="C11" s="157">
        <v>0.25</v>
      </c>
      <c r="D11" s="17"/>
      <c r="E11" s="157">
        <v>0</v>
      </c>
      <c r="F11" s="16"/>
      <c r="H11" s="151" t="s">
        <v>47</v>
      </c>
    </row>
    <row r="12" spans="1:8" ht="13.5" thickBot="1">
      <c r="A12" s="148"/>
      <c r="B12" s="11">
        <v>38412</v>
      </c>
      <c r="C12" s="146">
        <v>1</v>
      </c>
      <c r="D12" s="13"/>
      <c r="E12" s="146">
        <v>0</v>
      </c>
      <c r="F12" s="12"/>
      <c r="G12" s="13"/>
      <c r="H12" s="121" t="s">
        <v>47</v>
      </c>
    </row>
    <row r="13" spans="1:8" ht="12.75">
      <c r="A13" s="158" t="s">
        <v>50</v>
      </c>
      <c r="B13" s="15">
        <v>38534</v>
      </c>
      <c r="C13" s="157">
        <v>0</v>
      </c>
      <c r="D13" s="17"/>
      <c r="E13" s="157">
        <v>0</v>
      </c>
      <c r="F13" s="157"/>
      <c r="G13" s="17" t="s">
        <v>111</v>
      </c>
      <c r="H13" s="279" t="s">
        <v>47</v>
      </c>
    </row>
    <row r="14" spans="1:8" ht="12.75">
      <c r="A14" s="158"/>
      <c r="B14" s="15">
        <v>38548</v>
      </c>
      <c r="C14" s="157">
        <v>0.8</v>
      </c>
      <c r="D14" s="17"/>
      <c r="E14" s="157">
        <v>0</v>
      </c>
      <c r="F14" s="16"/>
      <c r="H14" s="151" t="s">
        <v>47</v>
      </c>
    </row>
    <row r="15" spans="1:8" ht="13.5" thickBot="1">
      <c r="A15" s="148"/>
      <c r="B15" s="11"/>
      <c r="C15" s="13"/>
      <c r="D15" s="13"/>
      <c r="E15" s="13"/>
      <c r="F15" s="12"/>
      <c r="G15" s="13"/>
      <c r="H15" s="121"/>
    </row>
    <row r="16" spans="1:8" ht="13.5" thickBot="1">
      <c r="A16" s="148" t="s">
        <v>53</v>
      </c>
      <c r="B16" s="11">
        <v>38899</v>
      </c>
      <c r="C16" s="146">
        <v>1</v>
      </c>
      <c r="D16" s="13"/>
      <c r="E16" s="146">
        <v>0</v>
      </c>
      <c r="F16" s="12"/>
      <c r="G16" s="13" t="s">
        <v>111</v>
      </c>
      <c r="H16" s="121" t="s">
        <v>47</v>
      </c>
    </row>
    <row r="17" spans="1:8" ht="12.75">
      <c r="A17" s="158" t="s">
        <v>70</v>
      </c>
      <c r="B17" s="15">
        <v>39342</v>
      </c>
      <c r="C17" s="157">
        <v>0.9</v>
      </c>
      <c r="D17" s="17"/>
      <c r="E17" s="157">
        <v>0</v>
      </c>
      <c r="F17" s="16"/>
      <c r="G17" s="17" t="s">
        <v>73</v>
      </c>
      <c r="H17" s="151" t="s">
        <v>47</v>
      </c>
    </row>
    <row r="18" spans="1:8" ht="13.5" thickBot="1">
      <c r="A18" s="148"/>
      <c r="B18" s="11">
        <v>39433</v>
      </c>
      <c r="C18" s="146">
        <v>1</v>
      </c>
      <c r="D18" s="13"/>
      <c r="E18" s="146">
        <v>0</v>
      </c>
      <c r="F18" s="12"/>
      <c r="G18" s="13" t="s">
        <v>73</v>
      </c>
      <c r="H18" s="121" t="s">
        <v>47</v>
      </c>
    </row>
    <row r="19" spans="1:8" ht="13.5" thickBot="1">
      <c r="A19" s="18" t="s">
        <v>76</v>
      </c>
      <c r="B19" s="19">
        <v>39630</v>
      </c>
      <c r="C19" s="26">
        <v>100</v>
      </c>
      <c r="D19" s="26"/>
      <c r="E19" s="26">
        <v>0</v>
      </c>
      <c r="F19" s="21"/>
      <c r="G19" s="21" t="s">
        <v>73</v>
      </c>
      <c r="H19" s="128" t="s">
        <v>47</v>
      </c>
    </row>
    <row r="20" spans="1:8" s="304" customFormat="1" ht="13.5" thickBot="1">
      <c r="A20" s="74" t="s">
        <v>78</v>
      </c>
      <c r="B20" s="75">
        <v>39995</v>
      </c>
      <c r="C20" s="76">
        <v>100</v>
      </c>
      <c r="D20" s="76"/>
      <c r="E20" s="76">
        <v>0</v>
      </c>
      <c r="F20" s="77"/>
      <c r="G20" s="326" t="s">
        <v>77</v>
      </c>
      <c r="H20" s="327" t="s">
        <v>47</v>
      </c>
    </row>
  </sheetData>
  <printOptions/>
  <pageMargins left="0.75" right="0.75" top="0.9" bottom="0.82" header="0.5" footer="0.5"/>
  <pageSetup horizontalDpi="300" verticalDpi="300" orientation="landscape" paperSize="9" r:id="rId2"/>
  <headerFooter alignWithMargins="0">
    <oddHeader>&amp;LDate : &amp;D&amp;RFilename : g:\rivops\state\allocatn\&amp;F</oddHead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H104"/>
  <sheetViews>
    <sheetView showGridLines="0" workbookViewId="0" topLeftCell="A4">
      <pane xSplit="1" ySplit="2" topLeftCell="B6" activePane="bottomRight" state="frozen"/>
      <selection pane="topLeft" activeCell="A4" sqref="A4"/>
      <selection pane="topRight" activeCell="B4" sqref="B4"/>
      <selection pane="bottomLeft" activeCell="A6" sqref="A6"/>
      <selection pane="bottomRight" activeCell="B104" sqref="B104:G104"/>
    </sheetView>
  </sheetViews>
  <sheetFormatPr defaultColWidth="9.140625" defaultRowHeight="12.75"/>
  <cols>
    <col min="1" max="1" width="9.140625" style="14" customWidth="1"/>
    <col min="2" max="2" width="10.140625" style="15" customWidth="1"/>
    <col min="3" max="3" width="10.00390625" style="24" customWidth="1"/>
    <col min="4" max="4" width="11.00390625" style="24" customWidth="1"/>
    <col min="5" max="5" width="11.421875" style="24" customWidth="1"/>
    <col min="6" max="6" width="12.28125" style="17" customWidth="1"/>
    <col min="7" max="7" width="69.7109375" style="0" customWidth="1"/>
  </cols>
  <sheetData>
    <row r="1" spans="1:7" ht="24" customHeight="1" thickBot="1">
      <c r="A1" s="36" t="s">
        <v>117</v>
      </c>
      <c r="B1" s="123"/>
      <c r="C1" s="22"/>
      <c r="D1" s="22"/>
      <c r="E1" s="22"/>
      <c r="F1" s="2"/>
      <c r="G1" s="3"/>
    </row>
    <row r="2" spans="1:7" ht="15.75" customHeight="1" thickBot="1">
      <c r="A2" s="29" t="s">
        <v>80</v>
      </c>
      <c r="B2" s="124"/>
      <c r="C2" s="34"/>
      <c r="D2" s="34"/>
      <c r="E2" s="34"/>
      <c r="F2" s="33"/>
      <c r="G2" s="196" t="s">
        <v>30</v>
      </c>
    </row>
    <row r="3" spans="1:7" ht="105.75" customHeight="1" thickBot="1">
      <c r="A3" s="289"/>
      <c r="B3" s="290"/>
      <c r="C3" s="290"/>
      <c r="D3" s="290"/>
      <c r="E3" s="290"/>
      <c r="F3" s="290"/>
      <c r="G3" s="3"/>
    </row>
    <row r="4" spans="1:7" ht="15.75" customHeight="1" thickBot="1">
      <c r="A4" s="29" t="s">
        <v>28</v>
      </c>
      <c r="B4" s="124"/>
      <c r="C4" s="34"/>
      <c r="D4" s="34"/>
      <c r="E4" s="34"/>
      <c r="F4" s="33"/>
      <c r="G4" s="38"/>
    </row>
    <row r="5" spans="1:7" s="5" customFormat="1" ht="34.5" thickBot="1">
      <c r="A5" s="164" t="s">
        <v>87</v>
      </c>
      <c r="B5" s="165" t="s">
        <v>239</v>
      </c>
      <c r="C5" s="163" t="s">
        <v>242</v>
      </c>
      <c r="D5" s="187" t="s">
        <v>241</v>
      </c>
      <c r="E5" s="163" t="s">
        <v>8</v>
      </c>
      <c r="F5" s="187" t="s">
        <v>240</v>
      </c>
      <c r="G5" s="234" t="s">
        <v>90</v>
      </c>
    </row>
    <row r="6" spans="1:7" s="5" customFormat="1" ht="51">
      <c r="A6" s="62" t="s">
        <v>3</v>
      </c>
      <c r="B6" s="247">
        <v>37165</v>
      </c>
      <c r="C6" s="239">
        <v>105</v>
      </c>
      <c r="D6" s="224">
        <f>0/267</f>
        <v>0</v>
      </c>
      <c r="E6" s="198">
        <f>201.97/267</f>
        <v>0.7564419475655431</v>
      </c>
      <c r="F6" s="199">
        <f>D6+E6</f>
        <v>0.7564419475655431</v>
      </c>
      <c r="G6" s="255" t="s">
        <v>11</v>
      </c>
    </row>
    <row r="7" spans="1:7" s="5" customFormat="1" ht="12.75">
      <c r="A7" s="62"/>
      <c r="B7" s="248">
        <v>37196</v>
      </c>
      <c r="C7" s="235">
        <v>100</v>
      </c>
      <c r="D7" s="222">
        <f>1.15/263.162</f>
        <v>0.004369931829063467</v>
      </c>
      <c r="E7" s="197">
        <f>0/263.162</f>
        <v>0</v>
      </c>
      <c r="F7" s="240">
        <f aca="true" t="shared" si="0" ref="F7:F30">F6-D7+E7</f>
        <v>0.7520720157364796</v>
      </c>
      <c r="G7" s="256"/>
    </row>
    <row r="8" spans="1:7" s="5" customFormat="1" ht="12.75">
      <c r="A8" s="62"/>
      <c r="B8" s="249">
        <v>37226</v>
      </c>
      <c r="C8" s="235">
        <v>100</v>
      </c>
      <c r="D8" s="222">
        <f>1.02/263.162</f>
        <v>0.003875939535343249</v>
      </c>
      <c r="E8" s="197">
        <f>25.44/263.162</f>
        <v>0.09667049194032575</v>
      </c>
      <c r="F8" s="240">
        <f t="shared" si="0"/>
        <v>0.8448665681414621</v>
      </c>
      <c r="G8" s="256"/>
    </row>
    <row r="9" spans="1:7" s="5" customFormat="1" ht="12.75">
      <c r="A9" s="62"/>
      <c r="B9" s="248">
        <v>37257</v>
      </c>
      <c r="C9" s="235">
        <v>100</v>
      </c>
      <c r="D9" s="222"/>
      <c r="E9" s="197"/>
      <c r="F9" s="240">
        <f t="shared" si="0"/>
        <v>0.8448665681414621</v>
      </c>
      <c r="G9" s="256" t="s">
        <v>12</v>
      </c>
    </row>
    <row r="10" spans="1:7" s="5" customFormat="1" ht="12.75">
      <c r="A10" s="62"/>
      <c r="B10" s="249">
        <v>37288</v>
      </c>
      <c r="C10" s="235">
        <v>100</v>
      </c>
      <c r="D10" s="222">
        <f>72.43/263.162</f>
        <v>0.27522970641657996</v>
      </c>
      <c r="E10" s="197">
        <f>10.62/263.162</f>
        <v>0.04035537045622088</v>
      </c>
      <c r="F10" s="240">
        <f t="shared" si="0"/>
        <v>0.609992232181103</v>
      </c>
      <c r="G10" s="256"/>
    </row>
    <row r="11" spans="1:7" s="5" customFormat="1" ht="12.75">
      <c r="A11" s="62"/>
      <c r="B11" s="248">
        <v>37316</v>
      </c>
      <c r="C11" s="235">
        <v>100</v>
      </c>
      <c r="D11" s="222">
        <f>36.65/263.162</f>
        <v>0.13926782742189223</v>
      </c>
      <c r="E11" s="222">
        <f>9.25/263.162</f>
        <v>0.035149451668553974</v>
      </c>
      <c r="F11" s="240">
        <f t="shared" si="0"/>
        <v>0.5058738564277647</v>
      </c>
      <c r="G11" s="257"/>
    </row>
    <row r="12" spans="1:7" s="5" customFormat="1" ht="12.75">
      <c r="A12" s="62"/>
      <c r="B12" s="249">
        <v>37347</v>
      </c>
      <c r="C12" s="235">
        <v>100</v>
      </c>
      <c r="D12" s="225">
        <f>6.43/263.162</f>
        <v>0.024433618835546168</v>
      </c>
      <c r="E12" s="222">
        <f>7.82/263.162</f>
        <v>0.029715536437631578</v>
      </c>
      <c r="F12" s="240">
        <f t="shared" si="0"/>
        <v>0.5111557740298501</v>
      </c>
      <c r="G12" s="258"/>
    </row>
    <row r="13" spans="1:7" s="5" customFormat="1" ht="12.75">
      <c r="A13" s="62"/>
      <c r="B13" s="248">
        <v>37377</v>
      </c>
      <c r="C13" s="235">
        <v>100</v>
      </c>
      <c r="D13" s="230">
        <f>0/263.162</f>
        <v>0</v>
      </c>
      <c r="E13" s="230">
        <f>0.86/263.162</f>
        <v>0.0032679490199952884</v>
      </c>
      <c r="F13" s="240">
        <f t="shared" si="0"/>
        <v>0.5144237230498454</v>
      </c>
      <c r="G13" s="258"/>
    </row>
    <row r="14" spans="1:7" s="5" customFormat="1" ht="12.75">
      <c r="A14" s="62"/>
      <c r="B14" s="249">
        <v>37408</v>
      </c>
      <c r="C14" s="235">
        <v>100</v>
      </c>
      <c r="D14" s="230">
        <f>0/263.162</f>
        <v>0</v>
      </c>
      <c r="E14" s="230">
        <f aca="true" t="shared" si="1" ref="E14:E22">0/263.162</f>
        <v>0</v>
      </c>
      <c r="F14" s="240">
        <f t="shared" si="0"/>
        <v>0.5144237230498454</v>
      </c>
      <c r="G14" s="258"/>
    </row>
    <row r="15" spans="1:7" s="5" customFormat="1" ht="12.75">
      <c r="A15" s="62"/>
      <c r="B15" s="248">
        <v>37438</v>
      </c>
      <c r="C15" s="235">
        <v>100</v>
      </c>
      <c r="D15" s="230">
        <f>0/263.162</f>
        <v>0</v>
      </c>
      <c r="E15" s="230">
        <f t="shared" si="1"/>
        <v>0</v>
      </c>
      <c r="F15" s="240">
        <f t="shared" si="0"/>
        <v>0.5144237230498454</v>
      </c>
      <c r="G15" s="258"/>
    </row>
    <row r="16" spans="1:7" s="5" customFormat="1" ht="12.75">
      <c r="A16" s="62"/>
      <c r="B16" s="249">
        <v>37469</v>
      </c>
      <c r="C16" s="235">
        <v>100</v>
      </c>
      <c r="D16" s="230">
        <f>0/263.162</f>
        <v>0</v>
      </c>
      <c r="E16" s="230">
        <f t="shared" si="1"/>
        <v>0</v>
      </c>
      <c r="F16" s="240">
        <f t="shared" si="0"/>
        <v>0.5144237230498454</v>
      </c>
      <c r="G16" s="258"/>
    </row>
    <row r="17" spans="1:7" s="5" customFormat="1" ht="13.5" thickBot="1">
      <c r="A17" s="254"/>
      <c r="B17" s="250">
        <v>37500</v>
      </c>
      <c r="C17" s="251">
        <v>100</v>
      </c>
      <c r="D17" s="232">
        <f>5.27/263.162</f>
        <v>0.02002568759927345</v>
      </c>
      <c r="E17" s="252">
        <f t="shared" si="1"/>
        <v>0</v>
      </c>
      <c r="F17" s="253">
        <f t="shared" si="0"/>
        <v>0.4943980354505719</v>
      </c>
      <c r="G17" s="259"/>
    </row>
    <row r="18" spans="1:7" s="5" customFormat="1" ht="12.75">
      <c r="A18" s="62" t="s">
        <v>10</v>
      </c>
      <c r="B18" s="247">
        <v>37530</v>
      </c>
      <c r="C18" s="239">
        <v>100</v>
      </c>
      <c r="D18" s="224">
        <f>15.63/263.162</f>
        <v>0.059393073468053906</v>
      </c>
      <c r="E18" s="198">
        <f t="shared" si="1"/>
        <v>0</v>
      </c>
      <c r="F18" s="199">
        <f t="shared" si="0"/>
        <v>0.43500496198251803</v>
      </c>
      <c r="G18" s="255"/>
    </row>
    <row r="19" spans="1:7" s="5" customFormat="1" ht="12.75">
      <c r="A19" s="62"/>
      <c r="B19" s="248">
        <v>37561</v>
      </c>
      <c r="C19" s="235">
        <v>100</v>
      </c>
      <c r="D19" s="222">
        <f>3.98/263.162</f>
        <v>0.01512376406928052</v>
      </c>
      <c r="E19" s="197">
        <f t="shared" si="1"/>
        <v>0</v>
      </c>
      <c r="F19" s="240">
        <f t="shared" si="0"/>
        <v>0.4198811979132375</v>
      </c>
      <c r="G19" s="272"/>
    </row>
    <row r="20" spans="1:7" s="5" customFormat="1" ht="12.75">
      <c r="A20" s="62"/>
      <c r="B20" s="249">
        <v>37591</v>
      </c>
      <c r="C20" s="235">
        <v>100</v>
      </c>
      <c r="D20" s="222">
        <f>25.25/263.162</f>
        <v>0.09594850320335004</v>
      </c>
      <c r="E20" s="197">
        <f t="shared" si="1"/>
        <v>0</v>
      </c>
      <c r="F20" s="240">
        <f t="shared" si="0"/>
        <v>0.3239326947098875</v>
      </c>
      <c r="G20" s="272" t="s">
        <v>39</v>
      </c>
    </row>
    <row r="21" spans="1:7" s="5" customFormat="1" ht="12.75">
      <c r="A21" s="62"/>
      <c r="B21" s="248">
        <v>37622</v>
      </c>
      <c r="C21" s="235">
        <v>100</v>
      </c>
      <c r="D21" s="222">
        <f>35.95/263.162</f>
        <v>0.1366078689172449</v>
      </c>
      <c r="E21" s="197">
        <f t="shared" si="1"/>
        <v>0</v>
      </c>
      <c r="F21" s="240">
        <f t="shared" si="0"/>
        <v>0.1873248257926426</v>
      </c>
      <c r="G21" s="272"/>
    </row>
    <row r="22" spans="1:7" s="5" customFormat="1" ht="12.75">
      <c r="A22" s="62"/>
      <c r="B22" s="249">
        <v>37653</v>
      </c>
      <c r="C22" s="235">
        <v>100</v>
      </c>
      <c r="D22" s="222">
        <f>30.37/263.162</f>
        <v>0.11540419969448477</v>
      </c>
      <c r="E22" s="197">
        <f t="shared" si="1"/>
        <v>0</v>
      </c>
      <c r="F22" s="240">
        <f t="shared" si="0"/>
        <v>0.07192062609815782</v>
      </c>
      <c r="G22" s="272"/>
    </row>
    <row r="23" spans="1:7" s="5" customFormat="1" ht="12.75">
      <c r="A23" s="62"/>
      <c r="B23" s="248">
        <v>37681</v>
      </c>
      <c r="C23" s="235">
        <v>100</v>
      </c>
      <c r="D23" s="222">
        <f>8.48/263.162</f>
        <v>0.032223497313441915</v>
      </c>
      <c r="E23" s="197">
        <f>1.91/263.162</f>
        <v>0.007257886776966279</v>
      </c>
      <c r="F23" s="240">
        <f t="shared" si="0"/>
        <v>0.04695501556168218</v>
      </c>
      <c r="G23" s="280"/>
    </row>
    <row r="24" spans="1:7" s="5" customFormat="1" ht="12.75">
      <c r="A24" s="62"/>
      <c r="B24" s="249">
        <v>37712</v>
      </c>
      <c r="C24" s="235">
        <v>100</v>
      </c>
      <c r="D24" s="222">
        <f>0.13/263.162</f>
        <v>0.000493992293720218</v>
      </c>
      <c r="E24" s="197">
        <f>0.48/263.162</f>
        <v>0.0018239715460438817</v>
      </c>
      <c r="F24" s="240">
        <f t="shared" si="0"/>
        <v>0.04828499481400585</v>
      </c>
      <c r="G24" s="258"/>
    </row>
    <row r="25" spans="1:7" s="5" customFormat="1" ht="12.75">
      <c r="A25" s="62"/>
      <c r="B25" s="248">
        <v>37742</v>
      </c>
      <c r="C25" s="235">
        <v>100</v>
      </c>
      <c r="D25" s="222">
        <f>14.8/263.162</f>
        <v>0.05623912266968636</v>
      </c>
      <c r="E25" s="197">
        <f>16.34/263.162</f>
        <v>0.062091031379910476</v>
      </c>
      <c r="F25" s="240">
        <f t="shared" si="0"/>
        <v>0.054136903524229965</v>
      </c>
      <c r="G25" s="258"/>
    </row>
    <row r="26" spans="1:7" s="5" customFormat="1" ht="12.75">
      <c r="A26" s="62"/>
      <c r="B26" s="248">
        <v>37773</v>
      </c>
      <c r="C26" s="235">
        <v>100</v>
      </c>
      <c r="D26" s="222">
        <f>0/263.162</f>
        <v>0</v>
      </c>
      <c r="E26" s="197">
        <f>1.08/263.162</f>
        <v>0.0041039359785987346</v>
      </c>
      <c r="F26" s="240">
        <f t="shared" si="0"/>
        <v>0.0582408395028287</v>
      </c>
      <c r="G26" s="258"/>
    </row>
    <row r="27" spans="2:7" s="5" customFormat="1" ht="12.75">
      <c r="B27" s="248">
        <v>37803</v>
      </c>
      <c r="C27" s="235">
        <v>100</v>
      </c>
      <c r="D27" s="222">
        <f>0/263.162</f>
        <v>0</v>
      </c>
      <c r="E27" s="293">
        <f>0.08/263.162</f>
        <v>0.00030399525767398034</v>
      </c>
      <c r="F27" s="240">
        <f t="shared" si="0"/>
        <v>0.05854483476050268</v>
      </c>
      <c r="G27" s="283"/>
    </row>
    <row r="28" spans="1:7" s="5" customFormat="1" ht="12.75">
      <c r="A28" s="62"/>
      <c r="B28" s="249">
        <v>37834</v>
      </c>
      <c r="C28" s="235">
        <v>100</v>
      </c>
      <c r="D28" s="222">
        <f>0/263.162</f>
        <v>0</v>
      </c>
      <c r="E28" s="293">
        <f>0.26/263.162</f>
        <v>0.000987984587440436</v>
      </c>
      <c r="F28" s="240">
        <f t="shared" si="0"/>
        <v>0.05953281934794311</v>
      </c>
      <c r="G28" s="258"/>
    </row>
    <row r="29" spans="1:7" s="5" customFormat="1" ht="13.5" thickBot="1">
      <c r="A29" s="254"/>
      <c r="B29" s="248">
        <v>37865</v>
      </c>
      <c r="C29" s="235">
        <v>100</v>
      </c>
      <c r="D29" s="222">
        <f>0.17/263.162</f>
        <v>0.0006459899225572082</v>
      </c>
      <c r="E29" s="293">
        <f>16.27/263.162</f>
        <v>0.061825035529445745</v>
      </c>
      <c r="F29" s="240">
        <f t="shared" si="0"/>
        <v>0.12071186495483165</v>
      </c>
      <c r="G29" s="258"/>
    </row>
    <row r="30" spans="1:7" s="5" customFormat="1" ht="12.75">
      <c r="A30" s="62" t="s">
        <v>13</v>
      </c>
      <c r="B30" s="247">
        <v>37895</v>
      </c>
      <c r="C30" s="239">
        <v>100</v>
      </c>
      <c r="D30" s="224">
        <f>0.4/263.162</f>
        <v>0.0015199762883699017</v>
      </c>
      <c r="E30" s="198">
        <f>0.08/263.162</f>
        <v>0.00030399525767398034</v>
      </c>
      <c r="F30" s="199">
        <f t="shared" si="0"/>
        <v>0.11949588392413572</v>
      </c>
      <c r="G30" s="255" t="s">
        <v>40</v>
      </c>
    </row>
    <row r="31" spans="1:7" s="5" customFormat="1" ht="12.75">
      <c r="A31" s="62"/>
      <c r="B31" s="249">
        <v>37926</v>
      </c>
      <c r="C31" s="24">
        <v>100</v>
      </c>
      <c r="D31" s="222">
        <f>1.37/263.162</f>
        <v>0.005205918787666913</v>
      </c>
      <c r="E31" s="293">
        <f>28.13/263.162</f>
        <v>0.10689233247961333</v>
      </c>
      <c r="F31" s="240">
        <f aca="true" t="shared" si="2" ref="F31:F40">F30-D31+E31</f>
        <v>0.22118229761608216</v>
      </c>
      <c r="G31" s="256"/>
    </row>
    <row r="32" spans="1:7" s="5" customFormat="1" ht="12.75">
      <c r="A32" s="62"/>
      <c r="B32" s="248">
        <v>37956</v>
      </c>
      <c r="C32" s="24">
        <v>100</v>
      </c>
      <c r="D32" s="222">
        <f>8.87/263.162</f>
        <v>0.03370547419460256</v>
      </c>
      <c r="E32" s="293">
        <f>5.91/263.162</f>
        <v>0.022457649660665296</v>
      </c>
      <c r="F32" s="240">
        <f t="shared" si="2"/>
        <v>0.20993447308214488</v>
      </c>
      <c r="G32" s="256"/>
    </row>
    <row r="33" spans="1:7" s="5" customFormat="1" ht="12.75">
      <c r="A33" s="62"/>
      <c r="B33" s="249">
        <v>37987</v>
      </c>
      <c r="C33" s="24">
        <v>100</v>
      </c>
      <c r="D33" s="222">
        <f>15.65/263.162</f>
        <v>0.0594690722824724</v>
      </c>
      <c r="E33" s="293">
        <f>15.35/263.162</f>
        <v>0.05832909006619497</v>
      </c>
      <c r="F33" s="240">
        <f t="shared" si="2"/>
        <v>0.20879449086586746</v>
      </c>
      <c r="G33" s="256"/>
    </row>
    <row r="34" spans="1:7" ht="12.75">
      <c r="A34" s="62"/>
      <c r="B34" s="248">
        <v>38018</v>
      </c>
      <c r="C34" s="24">
        <v>100</v>
      </c>
      <c r="D34" s="222">
        <f>12.47/263.162</f>
        <v>0.04738526078993168</v>
      </c>
      <c r="E34" s="293">
        <f>86.16/263.162</f>
        <v>0.3274028925148768</v>
      </c>
      <c r="F34" s="240">
        <f t="shared" si="2"/>
        <v>0.4888121225908126</v>
      </c>
      <c r="G34" s="256"/>
    </row>
    <row r="35" spans="1:7" ht="12.75">
      <c r="A35" s="62"/>
      <c r="B35" s="249">
        <v>38047</v>
      </c>
      <c r="C35" s="24">
        <v>100</v>
      </c>
      <c r="D35" s="222">
        <f>4.78/263.162</f>
        <v>0.018163716646020324</v>
      </c>
      <c r="E35" s="293">
        <f>6.31/263.162</f>
        <v>0.023977625949035197</v>
      </c>
      <c r="F35" s="240">
        <f t="shared" si="2"/>
        <v>0.4946260318938274</v>
      </c>
      <c r="G35" s="257"/>
    </row>
    <row r="36" spans="1:7" ht="12.75">
      <c r="A36" s="62"/>
      <c r="B36" s="248">
        <v>38078</v>
      </c>
      <c r="C36" s="24">
        <v>100</v>
      </c>
      <c r="D36" s="222">
        <f>0.4/263.162</f>
        <v>0.0015199762883699017</v>
      </c>
      <c r="E36" s="293">
        <f>0.02/263.162</f>
        <v>7.599881441849509E-05</v>
      </c>
      <c r="F36" s="240">
        <f t="shared" si="2"/>
        <v>0.493182054419876</v>
      </c>
      <c r="G36" s="258"/>
    </row>
    <row r="37" spans="1:7" ht="12.75">
      <c r="A37" s="62"/>
      <c r="B37" s="249">
        <v>38108</v>
      </c>
      <c r="C37" s="24">
        <v>100</v>
      </c>
      <c r="D37" s="222">
        <f>0.59/263.162</f>
        <v>0.002241965025345605</v>
      </c>
      <c r="E37" s="293">
        <f>0/263.162</f>
        <v>0</v>
      </c>
      <c r="F37" s="240">
        <f t="shared" si="2"/>
        <v>0.4909400893945304</v>
      </c>
      <c r="G37" s="258"/>
    </row>
    <row r="38" spans="1:7" ht="12.75">
      <c r="A38" s="62"/>
      <c r="B38" s="249">
        <v>38139</v>
      </c>
      <c r="C38" s="24">
        <v>100</v>
      </c>
      <c r="D38" s="222">
        <f>0.3/263.162</f>
        <v>0.0011399822162774262</v>
      </c>
      <c r="E38" s="293">
        <f>0/263.162</f>
        <v>0</v>
      </c>
      <c r="F38" s="240">
        <f t="shared" si="2"/>
        <v>0.48980010717825295</v>
      </c>
      <c r="G38" s="257"/>
    </row>
    <row r="39" spans="1:7" ht="12.75">
      <c r="A39" s="62"/>
      <c r="B39" s="248">
        <v>38169</v>
      </c>
      <c r="C39" s="24">
        <v>100</v>
      </c>
      <c r="D39" s="222">
        <f>0.43/263.162</f>
        <v>0.0016339745099976442</v>
      </c>
      <c r="E39" s="293">
        <f>0/263.162</f>
        <v>0</v>
      </c>
      <c r="F39" s="240">
        <f t="shared" si="2"/>
        <v>0.4881661326682553</v>
      </c>
      <c r="G39" s="258"/>
    </row>
    <row r="40" spans="1:7" ht="12.75">
      <c r="A40" s="191"/>
      <c r="B40" s="248">
        <v>38200</v>
      </c>
      <c r="C40" s="24">
        <v>100</v>
      </c>
      <c r="D40" s="291">
        <f>0.39/263.162</f>
        <v>0.001481976881160654</v>
      </c>
      <c r="E40" s="291">
        <f>0/263.162</f>
        <v>0</v>
      </c>
      <c r="F40" s="292">
        <f t="shared" si="2"/>
        <v>0.4866841557870947</v>
      </c>
      <c r="G40" s="256"/>
    </row>
    <row r="41" spans="1:8" s="5" customFormat="1" ht="13.5" thickBot="1">
      <c r="A41" s="254"/>
      <c r="B41" s="248">
        <v>38231</v>
      </c>
      <c r="C41" s="235">
        <v>100</v>
      </c>
      <c r="D41" s="222">
        <f>0.2/263.162</f>
        <v>0.0007599881441849508</v>
      </c>
      <c r="E41" s="293">
        <f>0/263.162</f>
        <v>0</v>
      </c>
      <c r="F41" s="240">
        <f aca="true" t="shared" si="3" ref="F41:F46">F40-D41+E41</f>
        <v>0.48592416764290974</v>
      </c>
      <c r="G41" s="258"/>
      <c r="H41"/>
    </row>
    <row r="42" spans="1:8" s="5" customFormat="1" ht="12.75">
      <c r="A42" s="62" t="s">
        <v>42</v>
      </c>
      <c r="B42" s="247">
        <v>38261</v>
      </c>
      <c r="C42" s="239">
        <v>100</v>
      </c>
      <c r="D42" s="224">
        <f>1.42/263.162</f>
        <v>0.00539591582371315</v>
      </c>
      <c r="E42" s="198">
        <f>9.15/263.162</f>
        <v>0.0347694575964615</v>
      </c>
      <c r="F42" s="199">
        <f t="shared" si="3"/>
        <v>0.5152977094156581</v>
      </c>
      <c r="G42" s="255"/>
      <c r="H42"/>
    </row>
    <row r="43" spans="1:7" ht="12.75">
      <c r="A43" s="158"/>
      <c r="B43" s="248">
        <v>38292</v>
      </c>
      <c r="C43" s="24">
        <v>100</v>
      </c>
      <c r="D43" s="291">
        <f>1.65/263.162</f>
        <v>0.006269902189525844</v>
      </c>
      <c r="E43" s="291">
        <f>0.65/263.162</f>
        <v>0.00246996146860109</v>
      </c>
      <c r="F43" s="292">
        <f t="shared" si="3"/>
        <v>0.5114977686947334</v>
      </c>
      <c r="G43" s="256"/>
    </row>
    <row r="44" spans="1:7" ht="12.75">
      <c r="A44" s="158"/>
      <c r="B44" s="248">
        <v>38322</v>
      </c>
      <c r="C44" s="24">
        <v>100</v>
      </c>
      <c r="D44" s="291">
        <f>6.68/263.162</f>
        <v>0.025383604015777356</v>
      </c>
      <c r="E44" s="291">
        <f>3.88/263.162</f>
        <v>0.014743769997188044</v>
      </c>
      <c r="F44" s="292">
        <f t="shared" si="3"/>
        <v>0.5008579346761441</v>
      </c>
      <c r="G44" s="256"/>
    </row>
    <row r="45" spans="1:7" ht="12.75">
      <c r="A45" s="158"/>
      <c r="B45" s="248">
        <v>38353</v>
      </c>
      <c r="C45" s="24">
        <v>100</v>
      </c>
      <c r="D45" s="291">
        <f>2.78/263.162</f>
        <v>0.010563835204170815</v>
      </c>
      <c r="E45" s="291">
        <f>22.23/263.162</f>
        <v>0.08447268222615728</v>
      </c>
      <c r="F45" s="292">
        <f t="shared" si="3"/>
        <v>0.5747667816981306</v>
      </c>
      <c r="G45" s="256"/>
    </row>
    <row r="46" spans="1:7" ht="12.75">
      <c r="A46" s="158"/>
      <c r="B46" s="248">
        <v>38384</v>
      </c>
      <c r="C46" s="24">
        <v>100</v>
      </c>
      <c r="D46" s="291">
        <f>9.93/263.162</f>
        <v>0.037733411358782804</v>
      </c>
      <c r="E46" s="291">
        <f>7.74/263.162</f>
        <v>0.029411541179957597</v>
      </c>
      <c r="F46" s="292">
        <f t="shared" si="3"/>
        <v>0.5664449115193053</v>
      </c>
      <c r="G46" s="256"/>
    </row>
    <row r="47" spans="1:7" ht="12.75">
      <c r="A47" s="158"/>
      <c r="B47" s="248">
        <v>38412</v>
      </c>
      <c r="C47" s="24">
        <v>100</v>
      </c>
      <c r="D47" s="291">
        <f>16.76/263.162</f>
        <v>0.06368700648269889</v>
      </c>
      <c r="E47" s="291">
        <f>0.22/263.162</f>
        <v>0.0008359869586034459</v>
      </c>
      <c r="F47" s="292">
        <f aca="true" t="shared" si="4" ref="F47:F52">F46-D47+E47</f>
        <v>0.5035938919952099</v>
      </c>
      <c r="G47" s="256"/>
    </row>
    <row r="48" spans="1:7" ht="12.75">
      <c r="A48" s="158"/>
      <c r="B48" s="248">
        <v>38443</v>
      </c>
      <c r="C48" s="24">
        <v>100</v>
      </c>
      <c r="D48" s="291">
        <f>3.56/263.162</f>
        <v>0.013527788966492125</v>
      </c>
      <c r="E48" s="291">
        <f aca="true" t="shared" si="5" ref="E48:E53">0/263.162</f>
        <v>0</v>
      </c>
      <c r="F48" s="292">
        <f t="shared" si="4"/>
        <v>0.4900661030287177</v>
      </c>
      <c r="G48" s="256"/>
    </row>
    <row r="49" spans="1:7" ht="12.75">
      <c r="A49" s="158"/>
      <c r="B49" s="248">
        <v>38473</v>
      </c>
      <c r="C49" s="24">
        <v>100</v>
      </c>
      <c r="D49" s="291">
        <f>1.04/263.162</f>
        <v>0.003951938349761744</v>
      </c>
      <c r="E49" s="291">
        <f t="shared" si="5"/>
        <v>0</v>
      </c>
      <c r="F49" s="292">
        <f t="shared" si="4"/>
        <v>0.48611416467895596</v>
      </c>
      <c r="G49" s="256"/>
    </row>
    <row r="50" spans="1:7" ht="12.75">
      <c r="A50" s="158"/>
      <c r="B50" s="248">
        <v>38504</v>
      </c>
      <c r="C50" s="24">
        <v>100</v>
      </c>
      <c r="D50" s="291">
        <f>0.46/263.162</f>
        <v>0.0017479727316253868</v>
      </c>
      <c r="E50" s="291">
        <f t="shared" si="5"/>
        <v>0</v>
      </c>
      <c r="F50" s="292">
        <f t="shared" si="4"/>
        <v>0.48436619194733055</v>
      </c>
      <c r="G50" s="256"/>
    </row>
    <row r="51" spans="1:7" ht="12.75">
      <c r="A51" s="158"/>
      <c r="B51" s="248">
        <v>38534</v>
      </c>
      <c r="C51" s="24">
        <v>100</v>
      </c>
      <c r="D51" s="291">
        <f>0.45/263.162</f>
        <v>0.0017099733244161394</v>
      </c>
      <c r="E51" s="291">
        <f t="shared" si="5"/>
        <v>0</v>
      </c>
      <c r="F51" s="292">
        <f t="shared" si="4"/>
        <v>0.4826562186229144</v>
      </c>
      <c r="G51" s="256"/>
    </row>
    <row r="52" spans="1:7" ht="12.75">
      <c r="A52" s="158"/>
      <c r="B52" s="15">
        <v>38565</v>
      </c>
      <c r="C52" s="24">
        <v>100</v>
      </c>
      <c r="D52" s="303">
        <f>0/263.162</f>
        <v>0</v>
      </c>
      <c r="E52" s="303">
        <f t="shared" si="5"/>
        <v>0</v>
      </c>
      <c r="F52" s="297">
        <f t="shared" si="4"/>
        <v>0.4826562186229144</v>
      </c>
      <c r="G52" s="151"/>
    </row>
    <row r="53" spans="1:8" s="5" customFormat="1" ht="13.5" thickBot="1">
      <c r="A53" s="254"/>
      <c r="B53" s="248">
        <v>38596</v>
      </c>
      <c r="C53" s="235">
        <v>100</v>
      </c>
      <c r="D53" s="222">
        <f>0.42/263.162</f>
        <v>0.0015959751027883966</v>
      </c>
      <c r="E53" s="293">
        <f t="shared" si="5"/>
        <v>0</v>
      </c>
      <c r="F53" s="240">
        <f aca="true" t="shared" si="6" ref="F53:F66">F52-D53+E53</f>
        <v>0.481060243520126</v>
      </c>
      <c r="G53" s="258"/>
      <c r="H53"/>
    </row>
    <row r="54" spans="1:8" s="5" customFormat="1" ht="12.75">
      <c r="A54" s="147" t="s">
        <v>50</v>
      </c>
      <c r="B54" s="247">
        <v>38626</v>
      </c>
      <c r="C54" s="239">
        <v>100</v>
      </c>
      <c r="D54" s="224">
        <f>6.38/263.162</f>
        <v>0.024243621799499928</v>
      </c>
      <c r="E54" s="198">
        <f>2.3/263.162</f>
        <v>0.008739863658126934</v>
      </c>
      <c r="F54" s="199">
        <f t="shared" si="6"/>
        <v>0.46555648537875305</v>
      </c>
      <c r="G54" s="255"/>
      <c r="H54"/>
    </row>
    <row r="55" spans="1:7" ht="12.75">
      <c r="A55" s="158"/>
      <c r="B55" s="15">
        <v>38657</v>
      </c>
      <c r="C55" s="24">
        <v>100</v>
      </c>
      <c r="D55" s="303">
        <f>2.17/263.162</f>
        <v>0.008245871364406715</v>
      </c>
      <c r="E55" s="303">
        <f>2.15/263.162</f>
        <v>0.00816987254998822</v>
      </c>
      <c r="F55" s="297">
        <f t="shared" si="6"/>
        <v>0.4654804865643346</v>
      </c>
      <c r="G55" s="151"/>
    </row>
    <row r="56" spans="1:7" ht="12.75">
      <c r="A56" s="158"/>
      <c r="B56" s="15">
        <v>38687</v>
      </c>
      <c r="C56" s="24">
        <v>100</v>
      </c>
      <c r="D56" s="303">
        <f>15.57/263.162</f>
        <v>0.05916507702479842</v>
      </c>
      <c r="E56" s="303">
        <f>13.91/263.162</f>
        <v>0.05285717542806333</v>
      </c>
      <c r="F56" s="297">
        <f t="shared" si="6"/>
        <v>0.45917258496759955</v>
      </c>
      <c r="G56" s="151"/>
    </row>
    <row r="57" spans="1:7" ht="12.75">
      <c r="A57" s="158"/>
      <c r="B57" s="15">
        <v>38718</v>
      </c>
      <c r="C57" s="24">
        <v>100</v>
      </c>
      <c r="D57" s="303">
        <f>20.34/263.162</f>
        <v>0.07729079426360949</v>
      </c>
      <c r="E57" s="303">
        <f>23.52/263.162</f>
        <v>0.08937460575615021</v>
      </c>
      <c r="F57" s="297">
        <f t="shared" si="6"/>
        <v>0.4712563964601403</v>
      </c>
      <c r="G57" s="151"/>
    </row>
    <row r="58" spans="1:7" ht="12.75">
      <c r="A58" s="158"/>
      <c r="B58" s="15">
        <v>38749</v>
      </c>
      <c r="C58" s="24">
        <v>100</v>
      </c>
      <c r="D58" s="303">
        <f>50.65/263.162</f>
        <v>0.19246699751483878</v>
      </c>
      <c r="E58" s="303">
        <f>34.25/263</f>
        <v>0.13022813688212928</v>
      </c>
      <c r="F58" s="297">
        <f t="shared" si="6"/>
        <v>0.40901753582743083</v>
      </c>
      <c r="G58" s="151"/>
    </row>
    <row r="59" spans="1:7" ht="12.75">
      <c r="A59" s="158"/>
      <c r="B59" s="15">
        <v>38777</v>
      </c>
      <c r="C59" s="24">
        <v>100</v>
      </c>
      <c r="D59" s="303">
        <f>7.65/263.162</f>
        <v>0.02906954651507437</v>
      </c>
      <c r="E59" s="303">
        <f>18.02/263.162</f>
        <v>0.06847493179106406</v>
      </c>
      <c r="F59" s="297">
        <f t="shared" si="6"/>
        <v>0.4484229211034205</v>
      </c>
      <c r="G59" s="151"/>
    </row>
    <row r="60" spans="1:7" ht="12.75">
      <c r="A60" s="158"/>
      <c r="B60" s="15">
        <v>38808</v>
      </c>
      <c r="C60" s="24">
        <v>100</v>
      </c>
      <c r="D60" s="303">
        <f>4.19/263.162</f>
        <v>0.01592175162067472</v>
      </c>
      <c r="E60" s="303">
        <f>3.66/263.162</f>
        <v>0.013907783038584599</v>
      </c>
      <c r="F60" s="297">
        <f t="shared" si="6"/>
        <v>0.4464089525213304</v>
      </c>
      <c r="G60" s="151"/>
    </row>
    <row r="61" spans="1:7" ht="12.75">
      <c r="A61" s="158"/>
      <c r="B61" s="15">
        <v>38838</v>
      </c>
      <c r="C61" s="24">
        <v>100</v>
      </c>
      <c r="D61" s="303">
        <f>0.24/263.162</f>
        <v>0.0009119857730219409</v>
      </c>
      <c r="E61" s="303">
        <f>1.53/263.162</f>
        <v>0.0058139093030148735</v>
      </c>
      <c r="F61" s="297">
        <f t="shared" si="6"/>
        <v>0.45131087605132336</v>
      </c>
      <c r="G61" s="151"/>
    </row>
    <row r="62" spans="1:7" ht="12.75">
      <c r="A62" s="158"/>
      <c r="B62" s="15">
        <v>38869</v>
      </c>
      <c r="C62" s="24">
        <v>100</v>
      </c>
      <c r="D62" s="303">
        <f>0.57/263.162</f>
        <v>0.0021659662109271096</v>
      </c>
      <c r="E62" s="303">
        <f>0/263.162</f>
        <v>0</v>
      </c>
      <c r="F62" s="297">
        <f t="shared" si="6"/>
        <v>0.44914490984039623</v>
      </c>
      <c r="G62" s="151"/>
    </row>
    <row r="63" spans="1:7" ht="12.75">
      <c r="A63" s="158"/>
      <c r="B63" s="15">
        <v>38899</v>
      </c>
      <c r="C63" s="24">
        <v>100</v>
      </c>
      <c r="D63" s="303">
        <f>0.36/263</f>
        <v>0.0013688212927756654</v>
      </c>
      <c r="E63" s="303">
        <f>0/263</f>
        <v>0</v>
      </c>
      <c r="F63" s="297">
        <f t="shared" si="6"/>
        <v>0.4477760885476206</v>
      </c>
      <c r="G63" s="151"/>
    </row>
    <row r="64" spans="1:7" ht="12.75">
      <c r="A64" s="158"/>
      <c r="B64" s="15">
        <v>38930</v>
      </c>
      <c r="C64" s="24">
        <v>100</v>
      </c>
      <c r="D64" s="291">
        <f>0.09/263</f>
        <v>0.00034220532319391634</v>
      </c>
      <c r="E64" s="291">
        <f>0.39/263</f>
        <v>0.0014828897338403043</v>
      </c>
      <c r="F64" s="122">
        <f t="shared" si="6"/>
        <v>0.448916772958267</v>
      </c>
      <c r="G64" s="258"/>
    </row>
    <row r="65" spans="1:8" s="5" customFormat="1" ht="13.5" thickBot="1">
      <c r="A65" s="254"/>
      <c r="B65" s="248">
        <v>38961</v>
      </c>
      <c r="C65" s="235">
        <v>100</v>
      </c>
      <c r="D65" s="222">
        <f>0.56/263</f>
        <v>0.002129277566539924</v>
      </c>
      <c r="E65" s="293">
        <f>0.38/263</f>
        <v>0.0014448669201520912</v>
      </c>
      <c r="F65" s="240">
        <f t="shared" si="6"/>
        <v>0.4482323623118792</v>
      </c>
      <c r="G65" s="258"/>
      <c r="H65"/>
    </row>
    <row r="66" spans="1:8" s="5" customFormat="1" ht="12.75">
      <c r="A66" s="147" t="s">
        <v>53</v>
      </c>
      <c r="B66" s="247">
        <v>38991</v>
      </c>
      <c r="C66" s="239">
        <v>100</v>
      </c>
      <c r="D66" s="224">
        <f>10.67/263</f>
        <v>0.04057034220532319</v>
      </c>
      <c r="E66" s="198">
        <f>2.62/263</f>
        <v>0.009961977186311788</v>
      </c>
      <c r="F66" s="199">
        <f t="shared" si="6"/>
        <v>0.4176239972928678</v>
      </c>
      <c r="G66" s="255"/>
      <c r="H66"/>
    </row>
    <row r="67" spans="1:7" ht="12.75">
      <c r="A67" s="158"/>
      <c r="B67" s="15">
        <v>39022</v>
      </c>
      <c r="C67" s="24">
        <v>100</v>
      </c>
      <c r="D67" s="303">
        <f>12.11/263.162</f>
        <v>0.04601728213039877</v>
      </c>
      <c r="E67" s="303">
        <f>0/263.162</f>
        <v>0</v>
      </c>
      <c r="F67" s="297">
        <f aca="true" t="shared" si="7" ref="F67:F76">F66-D67+E67</f>
        <v>0.371606715162469</v>
      </c>
      <c r="G67" s="151"/>
    </row>
    <row r="68" spans="1:7" ht="12.75">
      <c r="A68" s="158"/>
      <c r="B68" s="15">
        <v>39052</v>
      </c>
      <c r="C68" s="24">
        <v>100</v>
      </c>
      <c r="D68" s="303">
        <f>26.93/263.162</f>
        <v>0.10233240361450362</v>
      </c>
      <c r="E68" s="303">
        <f>19.35/263.162</f>
        <v>0.07352885294989399</v>
      </c>
      <c r="F68" s="297">
        <f t="shared" si="7"/>
        <v>0.34280316449785936</v>
      </c>
      <c r="G68" s="151"/>
    </row>
    <row r="69" spans="1:7" ht="12.75">
      <c r="A69" s="158"/>
      <c r="B69" s="15">
        <v>39083</v>
      </c>
      <c r="C69" s="24">
        <v>100</v>
      </c>
      <c r="D69" s="303">
        <f>30.15/263.162</f>
        <v>0.11456821273588133</v>
      </c>
      <c r="E69" s="303">
        <f>0/263.162</f>
        <v>0</v>
      </c>
      <c r="F69" s="297">
        <f t="shared" si="7"/>
        <v>0.22823495176197803</v>
      </c>
      <c r="G69" s="151"/>
    </row>
    <row r="70" spans="1:7" ht="12.75">
      <c r="A70" s="158"/>
      <c r="B70" s="15">
        <v>39114</v>
      </c>
      <c r="C70" s="24">
        <v>100</v>
      </c>
      <c r="D70" s="303">
        <f>26.58/263.162</f>
        <v>0.10100242436217995</v>
      </c>
      <c r="E70" s="303">
        <f>1.2/263</f>
        <v>0.0045627376425855515</v>
      </c>
      <c r="F70" s="297">
        <f t="shared" si="7"/>
        <v>0.13179526504238362</v>
      </c>
      <c r="G70" s="151"/>
    </row>
    <row r="71" spans="1:7" ht="12.75">
      <c r="A71" s="158"/>
      <c r="B71" s="15">
        <v>39142</v>
      </c>
      <c r="C71" s="24">
        <v>100</v>
      </c>
      <c r="D71" s="303">
        <f>18.29/263.162</f>
        <v>0.06950091578571374</v>
      </c>
      <c r="E71" s="303">
        <f>3.11/263.162</f>
        <v>0.011817815642075985</v>
      </c>
      <c r="F71" s="297">
        <f t="shared" si="7"/>
        <v>0.07411216489874586</v>
      </c>
      <c r="G71" s="151"/>
    </row>
    <row r="72" spans="1:7" ht="12.75">
      <c r="A72" s="158"/>
      <c r="B72" s="15">
        <v>39173</v>
      </c>
      <c r="C72" s="24">
        <v>100</v>
      </c>
      <c r="D72" s="303">
        <f>0.82/263.162</f>
        <v>0.003115951391158298</v>
      </c>
      <c r="E72" s="303">
        <f>2.85/263.162</f>
        <v>0.01082983105463555</v>
      </c>
      <c r="F72" s="297">
        <f t="shared" si="7"/>
        <v>0.08182604456222312</v>
      </c>
      <c r="G72" s="151"/>
    </row>
    <row r="73" spans="1:7" ht="12.75">
      <c r="A73" s="158"/>
      <c r="B73" s="15">
        <v>39203</v>
      </c>
      <c r="C73" s="24">
        <v>100</v>
      </c>
      <c r="D73" s="303">
        <f>0.97/263</f>
        <v>0.003688212927756654</v>
      </c>
      <c r="E73" s="303">
        <f>0/263.162</f>
        <v>0</v>
      </c>
      <c r="F73" s="297">
        <f t="shared" si="7"/>
        <v>0.07813783163446646</v>
      </c>
      <c r="G73" s="151"/>
    </row>
    <row r="74" spans="1:7" ht="12.75">
      <c r="A74" s="158"/>
      <c r="B74" s="15">
        <v>39234</v>
      </c>
      <c r="C74" s="24">
        <v>100</v>
      </c>
      <c r="D74" s="303">
        <f>1.15/263.162</f>
        <v>0.004369931829063467</v>
      </c>
      <c r="E74" s="303">
        <f>0/263.162</f>
        <v>0</v>
      </c>
      <c r="F74" s="297">
        <f t="shared" si="7"/>
        <v>0.07376789980540299</v>
      </c>
      <c r="G74" s="151"/>
    </row>
    <row r="75" spans="1:7" ht="12.75">
      <c r="A75" s="158"/>
      <c r="B75" s="15">
        <v>39264</v>
      </c>
      <c r="C75" s="24">
        <v>100</v>
      </c>
      <c r="D75" s="303">
        <f>0.39/263</f>
        <v>0.0014828897338403043</v>
      </c>
      <c r="E75" s="303">
        <f>5.88/263</f>
        <v>0.0223574144486692</v>
      </c>
      <c r="F75" s="297">
        <f t="shared" si="7"/>
        <v>0.09464242452023189</v>
      </c>
      <c r="G75" s="151"/>
    </row>
    <row r="76" spans="1:7" ht="12.75">
      <c r="A76" s="158"/>
      <c r="B76" s="15">
        <v>39295</v>
      </c>
      <c r="C76" s="24">
        <v>100</v>
      </c>
      <c r="D76" s="303">
        <f>0.35/263</f>
        <v>0.0013307984790874524</v>
      </c>
      <c r="E76" s="303">
        <f>4.31/263</f>
        <v>0.01638783269961977</v>
      </c>
      <c r="F76" s="297">
        <f t="shared" si="7"/>
        <v>0.1096994587407642</v>
      </c>
      <c r="G76" s="258"/>
    </row>
    <row r="77" spans="1:8" s="5" customFormat="1" ht="13.5" thickBot="1">
      <c r="A77" s="254"/>
      <c r="B77" s="250">
        <v>39326</v>
      </c>
      <c r="C77" s="251">
        <v>100</v>
      </c>
      <c r="D77" s="305">
        <f>1.08/263</f>
        <v>0.0041064638783269965</v>
      </c>
      <c r="E77" s="307">
        <f>26.93/263</f>
        <v>0.10239543726235742</v>
      </c>
      <c r="F77" s="240">
        <f>F76+E77-D77</f>
        <v>0.20798843212479462</v>
      </c>
      <c r="G77" s="259"/>
      <c r="H77"/>
    </row>
    <row r="78" spans="1:8" s="5" customFormat="1" ht="12.75">
      <c r="A78" s="147" t="s">
        <v>70</v>
      </c>
      <c r="B78" s="247">
        <v>39356</v>
      </c>
      <c r="C78" s="239">
        <v>100</v>
      </c>
      <c r="D78" s="224">
        <f>4.77/263</f>
        <v>0.018136882129277564</v>
      </c>
      <c r="E78" s="198">
        <f>3.8/263</f>
        <v>0.014448669201520912</v>
      </c>
      <c r="F78" s="199">
        <f aca="true" t="shared" si="8" ref="F78:F86">F77-D78+E78</f>
        <v>0.20430021919703797</v>
      </c>
      <c r="G78" s="255"/>
      <c r="H78"/>
    </row>
    <row r="79" spans="1:8" s="5" customFormat="1" ht="12.75">
      <c r="A79" s="158"/>
      <c r="B79" s="15">
        <v>39387</v>
      </c>
      <c r="C79" s="24">
        <v>100</v>
      </c>
      <c r="D79" s="303">
        <f>9.93/263</f>
        <v>0.03775665399239544</v>
      </c>
      <c r="E79" s="303">
        <f>1.1/263</f>
        <v>0.004182509505703423</v>
      </c>
      <c r="F79" s="297">
        <f t="shared" si="8"/>
        <v>0.17072607471034595</v>
      </c>
      <c r="G79" s="151"/>
      <c r="H79"/>
    </row>
    <row r="80" spans="1:8" s="5" customFormat="1" ht="12.75">
      <c r="A80" s="158"/>
      <c r="B80" s="15">
        <v>39401</v>
      </c>
      <c r="C80" s="24">
        <v>100</v>
      </c>
      <c r="D80" s="303">
        <f>1.03/263</f>
        <v>0.003916349809885931</v>
      </c>
      <c r="E80" s="303">
        <f>4.02/263</f>
        <v>0.015285171102661595</v>
      </c>
      <c r="F80" s="297">
        <f>F79-D80+E80</f>
        <v>0.18209489600312162</v>
      </c>
      <c r="G80" s="151"/>
      <c r="H80"/>
    </row>
    <row r="81" spans="1:7" ht="12.75">
      <c r="A81" s="158"/>
      <c r="B81" s="15">
        <v>39417</v>
      </c>
      <c r="C81" s="24">
        <v>100</v>
      </c>
      <c r="D81" s="303">
        <f>3.91/263</f>
        <v>0.014866920152091255</v>
      </c>
      <c r="E81" s="303">
        <f>3.8/263</f>
        <v>0.014448669201520912</v>
      </c>
      <c r="F81" s="297">
        <f>F80-D81+E81</f>
        <v>0.18167664505255127</v>
      </c>
      <c r="G81" s="151"/>
    </row>
    <row r="82" spans="1:7" ht="12.75">
      <c r="A82" s="158"/>
      <c r="B82" s="15">
        <v>39435</v>
      </c>
      <c r="C82" s="24">
        <v>100</v>
      </c>
      <c r="D82" s="303">
        <f>5.55/263</f>
        <v>0.021102661596958176</v>
      </c>
      <c r="E82" s="303">
        <f>21.05/263</f>
        <v>0.08003802281368821</v>
      </c>
      <c r="F82" s="297">
        <f t="shared" si="8"/>
        <v>0.2406120062692813</v>
      </c>
      <c r="G82" s="151"/>
    </row>
    <row r="83" spans="1:7" ht="12.75">
      <c r="A83" s="158"/>
      <c r="B83" s="15">
        <v>39448</v>
      </c>
      <c r="C83" s="24">
        <v>100</v>
      </c>
      <c r="D83" s="303">
        <f>7.33/263</f>
        <v>0.027870722433460077</v>
      </c>
      <c r="E83" s="303">
        <f>5.42/263</f>
        <v>0.020608365019011407</v>
      </c>
      <c r="F83" s="297">
        <f t="shared" si="8"/>
        <v>0.23334964885483261</v>
      </c>
      <c r="G83" s="258"/>
    </row>
    <row r="84" spans="1:7" ht="12.75">
      <c r="A84" s="158"/>
      <c r="B84" s="15">
        <v>39462</v>
      </c>
      <c r="C84" s="24">
        <v>100</v>
      </c>
      <c r="D84" s="303">
        <f>2.87/263</f>
        <v>0.01091254752851711</v>
      </c>
      <c r="E84" s="303">
        <f>12.8/263</f>
        <v>0.04866920152091255</v>
      </c>
      <c r="F84" s="297">
        <f t="shared" si="8"/>
        <v>0.27110630284722803</v>
      </c>
      <c r="G84" s="258"/>
    </row>
    <row r="85" spans="1:7" ht="12.75">
      <c r="A85" s="27"/>
      <c r="B85" s="15">
        <v>39479</v>
      </c>
      <c r="C85" s="24">
        <v>100</v>
      </c>
      <c r="D85" s="303">
        <f>3.28/263</f>
        <v>0.01247148288973384</v>
      </c>
      <c r="E85" s="303">
        <f>1.57/263</f>
        <v>0.00596958174904943</v>
      </c>
      <c r="F85" s="297">
        <f t="shared" si="8"/>
        <v>0.26460440170654365</v>
      </c>
      <c r="G85" s="258"/>
    </row>
    <row r="86" spans="1:7" ht="12.75">
      <c r="A86" s="27"/>
      <c r="B86" s="15">
        <v>39496</v>
      </c>
      <c r="C86" s="24">
        <v>100</v>
      </c>
      <c r="D86" s="303">
        <f>2.87/263</f>
        <v>0.01091254752851711</v>
      </c>
      <c r="E86" s="303">
        <f>8.98/263</f>
        <v>0.03414448669201521</v>
      </c>
      <c r="F86" s="297">
        <f t="shared" si="8"/>
        <v>0.28783634087004173</v>
      </c>
      <c r="G86" s="258"/>
    </row>
    <row r="87" spans="1:7" ht="12.75">
      <c r="A87" s="27"/>
      <c r="B87" s="15">
        <v>39508</v>
      </c>
      <c r="C87" s="24">
        <v>100</v>
      </c>
      <c r="D87" s="303">
        <f>0.64/263</f>
        <v>0.0024334600760456274</v>
      </c>
      <c r="E87" s="303">
        <f>1.75/263</f>
        <v>0.006653992395437262</v>
      </c>
      <c r="F87" s="297">
        <f>F86-D87+E87</f>
        <v>0.29205687318943335</v>
      </c>
      <c r="G87" s="258"/>
    </row>
    <row r="88" spans="1:7" ht="25.5">
      <c r="A88" s="27"/>
      <c r="B88" s="63">
        <v>39539</v>
      </c>
      <c r="C88" s="64">
        <v>100</v>
      </c>
      <c r="D88" s="197">
        <f>5.17/263</f>
        <v>0.019657794676806083</v>
      </c>
      <c r="E88" s="197">
        <f>2.38/263</f>
        <v>0.009049429657794676</v>
      </c>
      <c r="F88" s="315">
        <f>F87-D88+E88</f>
        <v>0.28144850817042194</v>
      </c>
      <c r="G88" s="314" t="s">
        <v>75</v>
      </c>
    </row>
    <row r="89" spans="2:7" ht="12.75">
      <c r="B89" s="15">
        <v>39569</v>
      </c>
      <c r="C89" s="24">
        <v>100</v>
      </c>
      <c r="D89" s="303">
        <f>4.84/263</f>
        <v>0.018403041825095057</v>
      </c>
      <c r="E89" s="303">
        <f>0/263</f>
        <v>0</v>
      </c>
      <c r="F89" s="297">
        <f>F88-D89+E89</f>
        <v>0.2630454663453269</v>
      </c>
      <c r="G89" s="258"/>
    </row>
    <row r="90" spans="1:7" ht="13.5" thickBot="1">
      <c r="A90" s="148"/>
      <c r="B90" s="11">
        <v>39600</v>
      </c>
      <c r="C90" s="244">
        <v>1</v>
      </c>
      <c r="D90" s="232">
        <f>3.28/263</f>
        <v>0.01247148288973384</v>
      </c>
      <c r="E90" s="232">
        <f>0/263</f>
        <v>0</v>
      </c>
      <c r="F90" s="312">
        <f>F89-D90+E90</f>
        <v>0.25057398345559306</v>
      </c>
      <c r="G90" s="313"/>
    </row>
    <row r="91" spans="1:8" s="5" customFormat="1" ht="12.75">
      <c r="A91" s="147" t="s">
        <v>76</v>
      </c>
      <c r="B91" s="247">
        <v>39630</v>
      </c>
      <c r="C91" s="239">
        <v>100</v>
      </c>
      <c r="D91" s="224">
        <f>1.68/263</f>
        <v>0.006387832699619771</v>
      </c>
      <c r="E91" s="198">
        <f>0/263</f>
        <v>0</v>
      </c>
      <c r="F91" s="199">
        <f aca="true" t="shared" si="9" ref="F91:F98">F90-D91+E91</f>
        <v>0.2441861507559733</v>
      </c>
      <c r="G91" s="255"/>
      <c r="H91"/>
    </row>
    <row r="92" spans="1:8" s="5" customFormat="1" ht="12.75">
      <c r="A92" s="158"/>
      <c r="B92" s="15">
        <v>39661</v>
      </c>
      <c r="C92" s="24">
        <v>100</v>
      </c>
      <c r="D92" s="303">
        <f>2.96/263</f>
        <v>0.011254752851711026</v>
      </c>
      <c r="E92" s="303">
        <f>0/263</f>
        <v>0</v>
      </c>
      <c r="F92" s="297">
        <f t="shared" si="9"/>
        <v>0.2329313979042623</v>
      </c>
      <c r="G92" s="151"/>
      <c r="H92"/>
    </row>
    <row r="93" spans="1:7" ht="12.75">
      <c r="A93" s="158"/>
      <c r="B93" s="15">
        <v>39692</v>
      </c>
      <c r="C93" s="24">
        <v>100</v>
      </c>
      <c r="D93" s="303">
        <f>6.74/263</f>
        <v>0.025627376425855514</v>
      </c>
      <c r="E93" s="303">
        <f>0/263</f>
        <v>0</v>
      </c>
      <c r="F93" s="297">
        <f t="shared" si="9"/>
        <v>0.20730402147840676</v>
      </c>
      <c r="G93" s="151"/>
    </row>
    <row r="94" spans="1:7" ht="12.75">
      <c r="A94" s="158"/>
      <c r="B94" s="15">
        <v>39722</v>
      </c>
      <c r="C94" s="24">
        <v>100</v>
      </c>
      <c r="D94" s="303">
        <f>6.55/263</f>
        <v>0.024904942965779466</v>
      </c>
      <c r="E94" s="303">
        <f>0.65/263</f>
        <v>0.0024714828897338405</v>
      </c>
      <c r="F94" s="297">
        <f t="shared" si="9"/>
        <v>0.18487056140236113</v>
      </c>
      <c r="G94" s="151"/>
    </row>
    <row r="95" spans="1:7" ht="12.75">
      <c r="A95" s="158"/>
      <c r="B95" s="15">
        <v>39753</v>
      </c>
      <c r="C95" s="24">
        <v>100</v>
      </c>
      <c r="D95" s="303">
        <f>5.59/263</f>
        <v>0.021254752851711026</v>
      </c>
      <c r="E95" s="303">
        <f>0/263</f>
        <v>0</v>
      </c>
      <c r="F95" s="297">
        <f t="shared" si="9"/>
        <v>0.1636158085506501</v>
      </c>
      <c r="G95" s="258"/>
    </row>
    <row r="96" spans="1:7" ht="12.75">
      <c r="A96" s="158"/>
      <c r="B96" s="15">
        <v>39783</v>
      </c>
      <c r="C96" s="24">
        <v>100</v>
      </c>
      <c r="D96" s="303">
        <f>5.69/263</f>
        <v>0.021634980988593157</v>
      </c>
      <c r="E96" s="303">
        <f>15.41/263</f>
        <v>0.05859315589353612</v>
      </c>
      <c r="F96" s="297">
        <f t="shared" si="9"/>
        <v>0.20057398345559307</v>
      </c>
      <c r="G96" s="258"/>
    </row>
    <row r="97" spans="1:7" ht="12.75">
      <c r="A97" s="27"/>
      <c r="B97" s="15">
        <v>39797</v>
      </c>
      <c r="C97" s="24">
        <v>100</v>
      </c>
      <c r="D97" s="303">
        <f>0.86/263</f>
        <v>0.003269961977186312</v>
      </c>
      <c r="E97" s="303">
        <f>3.61/263</f>
        <v>0.013726235741444867</v>
      </c>
      <c r="F97" s="297">
        <f t="shared" si="9"/>
        <v>0.21103025721985164</v>
      </c>
      <c r="G97" s="258"/>
    </row>
    <row r="98" spans="1:7" ht="12.75">
      <c r="A98" s="27"/>
      <c r="B98" s="15">
        <v>39814</v>
      </c>
      <c r="C98" s="24">
        <v>100</v>
      </c>
      <c r="D98" s="303">
        <f>2.99/263</f>
        <v>0.011368821292775666</v>
      </c>
      <c r="E98" s="303">
        <f>11.97/263</f>
        <v>0.04551330798479088</v>
      </c>
      <c r="F98" s="297">
        <f t="shared" si="9"/>
        <v>0.24517474391186683</v>
      </c>
      <c r="G98" s="258"/>
    </row>
    <row r="99" spans="1:7" ht="12.75">
      <c r="A99" s="27"/>
      <c r="B99" s="15">
        <v>39845</v>
      </c>
      <c r="C99" s="24">
        <v>100</v>
      </c>
      <c r="D99" s="303">
        <f>6.73/263</f>
        <v>0.0255893536121673</v>
      </c>
      <c r="E99" s="303">
        <f>3.64/263</f>
        <v>0.013840304182509507</v>
      </c>
      <c r="F99" s="297">
        <f>F98-D99+E99</f>
        <v>0.23342569448220904</v>
      </c>
      <c r="G99" s="258"/>
    </row>
    <row r="100" spans="1:7" ht="12.75">
      <c r="A100" s="27"/>
      <c r="B100" s="15">
        <v>39873</v>
      </c>
      <c r="C100" s="24">
        <v>100</v>
      </c>
      <c r="D100" s="303">
        <f>7.07/263</f>
        <v>0.02688212927756654</v>
      </c>
      <c r="E100" s="303">
        <f>0.73/263</f>
        <v>0.002775665399239544</v>
      </c>
      <c r="F100" s="297">
        <f>F99-D100+E100</f>
        <v>0.20931923060388205</v>
      </c>
      <c r="G100" s="258"/>
    </row>
    <row r="101" spans="1:7" ht="12.75">
      <c r="A101" s="27"/>
      <c r="B101" s="15">
        <v>39904</v>
      </c>
      <c r="C101" s="24">
        <v>100</v>
      </c>
      <c r="D101" s="303">
        <f>2.38/263</f>
        <v>0.009049429657794676</v>
      </c>
      <c r="E101" s="303">
        <f>0.05/263</f>
        <v>0.00019011406844106465</v>
      </c>
      <c r="F101" s="297">
        <f>F100-D101+E101</f>
        <v>0.20045991501452845</v>
      </c>
      <c r="G101" s="258"/>
    </row>
    <row r="102" spans="1:7" ht="12.75">
      <c r="A102" s="27"/>
      <c r="B102" s="15">
        <v>39934</v>
      </c>
      <c r="C102" s="24">
        <v>100</v>
      </c>
      <c r="D102" s="303">
        <f>0.16/263</f>
        <v>0.0006083650190114068</v>
      </c>
      <c r="E102" s="303">
        <f>0/263</f>
        <v>0</v>
      </c>
      <c r="F102" s="297">
        <f>F101-D102+E102</f>
        <v>0.19985154999551705</v>
      </c>
      <c r="G102" s="258"/>
    </row>
    <row r="103" spans="1:7" ht="13.5" thickBot="1">
      <c r="A103" s="148"/>
      <c r="B103" s="11">
        <v>39965</v>
      </c>
      <c r="C103" s="244">
        <v>1</v>
      </c>
      <c r="D103" s="232">
        <f>0.11/263</f>
        <v>0.0004182509505703422</v>
      </c>
      <c r="E103" s="232">
        <f>26.38/263</f>
        <v>0.1003041825095057</v>
      </c>
      <c r="F103" s="312">
        <f>F102-D103+E103</f>
        <v>0.2997374815544524</v>
      </c>
      <c r="G103" s="313"/>
    </row>
    <row r="104" spans="1:7" ht="18.75" customHeight="1" thickBot="1">
      <c r="A104" s="127" t="s">
        <v>78</v>
      </c>
      <c r="B104" s="335" t="s">
        <v>54</v>
      </c>
      <c r="C104" s="336"/>
      <c r="D104" s="336"/>
      <c r="E104" s="336"/>
      <c r="F104" s="336"/>
      <c r="G104" s="337"/>
    </row>
  </sheetData>
  <mergeCells count="1">
    <mergeCell ref="B104:G104"/>
  </mergeCells>
  <printOptions/>
  <pageMargins left="0.75" right="0.75" top="0.9" bottom="1.03" header="0.5" footer="0.5"/>
  <pageSetup horizontalDpi="300" verticalDpi="300" orientation="landscape" paperSize="9" r:id="rId2"/>
  <headerFooter alignWithMargins="0">
    <oddHeader>&amp;LDate : &amp;D&amp;RFilename : g:\rivops\state\allocatn\&amp;F</oddHeader>
    <oddFooter>&amp;CPage &amp;P</oddFooter>
  </headerFooter>
  <drawing r:id="rId1"/>
</worksheet>
</file>

<file path=xl/worksheets/sheet4.xml><?xml version="1.0" encoding="utf-8"?>
<worksheet xmlns="http://schemas.openxmlformats.org/spreadsheetml/2006/main" xmlns:r="http://schemas.openxmlformats.org/officeDocument/2006/relationships">
  <dimension ref="A1:H89"/>
  <sheetViews>
    <sheetView showGridLines="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9.140625" style="14" customWidth="1"/>
    <col min="2" max="2" width="10.140625" style="15" customWidth="1"/>
    <col min="3" max="3" width="10.00390625" style="24" customWidth="1"/>
    <col min="4" max="4" width="11.00390625" style="24" customWidth="1"/>
    <col min="5" max="5" width="11.421875" style="24" customWidth="1"/>
    <col min="6" max="6" width="11.140625" style="17" customWidth="1"/>
    <col min="7" max="7" width="12.8515625" style="17" customWidth="1"/>
    <col min="8" max="8" width="54.140625" style="0" customWidth="1"/>
  </cols>
  <sheetData>
    <row r="1" spans="1:8" ht="24" customHeight="1" thickBot="1">
      <c r="A1" s="36" t="s">
        <v>117</v>
      </c>
      <c r="B1" s="123"/>
      <c r="C1" s="22"/>
      <c r="D1" s="22"/>
      <c r="E1" s="22"/>
      <c r="F1" s="2"/>
      <c r="G1" s="2"/>
      <c r="H1" s="3"/>
    </row>
    <row r="2" spans="1:8" ht="15.75" customHeight="1" thickBot="1">
      <c r="A2" s="29" t="s">
        <v>80</v>
      </c>
      <c r="B2" s="124"/>
      <c r="C2" s="34"/>
      <c r="D2" s="34"/>
      <c r="E2" s="34"/>
      <c r="F2" s="33"/>
      <c r="G2" s="33"/>
      <c r="H2" s="38" t="s">
        <v>81</v>
      </c>
    </row>
    <row r="3" spans="1:8" ht="56.25" customHeight="1" thickBot="1">
      <c r="A3" s="6"/>
      <c r="B3" s="123"/>
      <c r="C3" s="22"/>
      <c r="D3" s="22"/>
      <c r="E3" s="22"/>
      <c r="F3" s="2"/>
      <c r="G3" s="2"/>
      <c r="H3" s="3"/>
    </row>
    <row r="4" spans="1:8" ht="15.75" customHeight="1" thickBot="1">
      <c r="A4" s="29" t="s">
        <v>31</v>
      </c>
      <c r="B4" s="124"/>
      <c r="C4" s="34"/>
      <c r="D4" s="34"/>
      <c r="E4" s="34"/>
      <c r="F4" s="33"/>
      <c r="G4" s="33"/>
      <c r="H4" s="38"/>
    </row>
    <row r="5" spans="1:8" s="5" customFormat="1" ht="24">
      <c r="A5" s="39"/>
      <c r="B5" s="40" t="s">
        <v>83</v>
      </c>
      <c r="C5" s="41" t="s">
        <v>84</v>
      </c>
      <c r="D5" s="41" t="s">
        <v>85</v>
      </c>
      <c r="E5" s="51" t="s">
        <v>213</v>
      </c>
      <c r="F5" s="52"/>
      <c r="G5" s="42" t="s">
        <v>86</v>
      </c>
      <c r="H5" s="43"/>
    </row>
    <row r="6" spans="1:8" s="5" customFormat="1" ht="23.25" customHeight="1" thickBot="1">
      <c r="A6" s="44" t="s">
        <v>87</v>
      </c>
      <c r="B6" s="45" t="s">
        <v>86</v>
      </c>
      <c r="C6" s="46" t="s">
        <v>86</v>
      </c>
      <c r="D6" s="46" t="s">
        <v>88</v>
      </c>
      <c r="E6" s="49" t="s">
        <v>214</v>
      </c>
      <c r="F6" s="50" t="s">
        <v>215</v>
      </c>
      <c r="G6" s="47" t="s">
        <v>89</v>
      </c>
      <c r="H6" s="48" t="s">
        <v>90</v>
      </c>
    </row>
    <row r="7" spans="1:8" ht="15.75" customHeight="1">
      <c r="A7" s="56" t="s">
        <v>91</v>
      </c>
      <c r="B7" s="57">
        <v>29847</v>
      </c>
      <c r="C7" s="58">
        <v>50</v>
      </c>
      <c r="D7" s="58">
        <v>0</v>
      </c>
      <c r="E7" s="58"/>
      <c r="F7" s="59"/>
      <c r="G7" s="60" t="s">
        <v>92</v>
      </c>
      <c r="H7" s="61"/>
    </row>
    <row r="8" spans="1:8" ht="15.75" customHeight="1" thickBot="1">
      <c r="A8" s="62"/>
      <c r="B8" s="63">
        <v>29950</v>
      </c>
      <c r="C8" s="64">
        <v>75</v>
      </c>
      <c r="D8" s="64">
        <v>0</v>
      </c>
      <c r="E8" s="64"/>
      <c r="F8" s="65"/>
      <c r="G8" s="66" t="s">
        <v>92</v>
      </c>
      <c r="H8" s="67"/>
    </row>
    <row r="9" spans="1:8" ht="15.75" customHeight="1">
      <c r="A9" s="56" t="s">
        <v>93</v>
      </c>
      <c r="B9" s="57">
        <v>30189</v>
      </c>
      <c r="C9" s="58">
        <v>30</v>
      </c>
      <c r="D9" s="58">
        <v>0</v>
      </c>
      <c r="E9" s="58"/>
      <c r="F9" s="59"/>
      <c r="G9" s="60" t="s">
        <v>92</v>
      </c>
      <c r="H9" s="61"/>
    </row>
    <row r="10" spans="1:8" ht="15.75" customHeight="1" thickBot="1">
      <c r="A10" s="62"/>
      <c r="B10" s="63">
        <v>30308</v>
      </c>
      <c r="C10" s="64">
        <v>40</v>
      </c>
      <c r="D10" s="64">
        <v>0</v>
      </c>
      <c r="E10" s="64"/>
      <c r="F10" s="65"/>
      <c r="G10" s="66" t="s">
        <v>92</v>
      </c>
      <c r="H10" s="67"/>
    </row>
    <row r="11" spans="1:8" ht="15.75" customHeight="1">
      <c r="A11" s="56" t="s">
        <v>95</v>
      </c>
      <c r="B11" s="57">
        <v>30539</v>
      </c>
      <c r="C11" s="58">
        <v>30</v>
      </c>
      <c r="D11" s="58">
        <v>0</v>
      </c>
      <c r="E11" s="58"/>
      <c r="F11" s="59"/>
      <c r="G11" s="60" t="s">
        <v>92</v>
      </c>
      <c r="H11" s="61"/>
    </row>
    <row r="12" spans="1:8" ht="15.75" customHeight="1" thickBot="1">
      <c r="A12" s="62"/>
      <c r="B12" s="63">
        <v>30629</v>
      </c>
      <c r="C12" s="64">
        <v>60</v>
      </c>
      <c r="D12" s="64">
        <v>0</v>
      </c>
      <c r="E12" s="64"/>
      <c r="F12" s="65"/>
      <c r="G12" s="66" t="s">
        <v>92</v>
      </c>
      <c r="H12" s="67"/>
    </row>
    <row r="13" spans="1:8" ht="15.75" customHeight="1">
      <c r="A13" s="56" t="s">
        <v>96</v>
      </c>
      <c r="B13" s="57">
        <v>30963</v>
      </c>
      <c r="C13" s="58">
        <v>50</v>
      </c>
      <c r="D13" s="58">
        <v>0</v>
      </c>
      <c r="E13" s="58"/>
      <c r="F13" s="59"/>
      <c r="G13" s="60" t="s">
        <v>92</v>
      </c>
      <c r="H13" s="61"/>
    </row>
    <row r="14" spans="1:8" ht="15.75" customHeight="1" thickBot="1">
      <c r="A14" s="62"/>
      <c r="B14" s="63">
        <v>31079</v>
      </c>
      <c r="C14" s="64">
        <v>60</v>
      </c>
      <c r="D14" s="64">
        <v>0</v>
      </c>
      <c r="E14" s="64"/>
      <c r="F14" s="65"/>
      <c r="G14" s="66" t="s">
        <v>92</v>
      </c>
      <c r="H14" s="67"/>
    </row>
    <row r="15" spans="1:8" ht="15.75" customHeight="1" thickBot="1">
      <c r="A15" s="56" t="s">
        <v>97</v>
      </c>
      <c r="B15" s="57">
        <v>31294</v>
      </c>
      <c r="C15" s="58">
        <v>30</v>
      </c>
      <c r="D15" s="58">
        <v>0</v>
      </c>
      <c r="E15" s="58"/>
      <c r="F15" s="59"/>
      <c r="G15" s="60" t="s">
        <v>92</v>
      </c>
      <c r="H15" s="61"/>
    </row>
    <row r="16" spans="1:8" ht="15.75" customHeight="1">
      <c r="A16" s="56" t="s">
        <v>98</v>
      </c>
      <c r="B16" s="57">
        <v>31667</v>
      </c>
      <c r="C16" s="58">
        <v>15</v>
      </c>
      <c r="D16" s="58">
        <v>0</v>
      </c>
      <c r="E16" s="58"/>
      <c r="F16" s="59"/>
      <c r="G16" s="60" t="s">
        <v>92</v>
      </c>
      <c r="H16" s="61"/>
    </row>
    <row r="17" spans="1:8" ht="15.75" customHeight="1">
      <c r="A17" s="62"/>
      <c r="B17" s="63">
        <v>31726</v>
      </c>
      <c r="C17" s="64">
        <v>100</v>
      </c>
      <c r="D17" s="64">
        <v>0</v>
      </c>
      <c r="E17" s="64"/>
      <c r="F17" s="65"/>
      <c r="G17" s="66" t="s">
        <v>92</v>
      </c>
      <c r="H17" s="67" t="s">
        <v>118</v>
      </c>
    </row>
    <row r="18" spans="1:8" ht="15.75" customHeight="1" thickBot="1">
      <c r="A18" s="68"/>
      <c r="B18" s="69">
        <v>31726</v>
      </c>
      <c r="C18" s="70">
        <v>18</v>
      </c>
      <c r="D18" s="70">
        <v>0</v>
      </c>
      <c r="E18" s="70"/>
      <c r="F18" s="71"/>
      <c r="G18" s="72" t="s">
        <v>92</v>
      </c>
      <c r="H18" s="73" t="s">
        <v>119</v>
      </c>
    </row>
    <row r="19" spans="1:8" ht="15.75" customHeight="1">
      <c r="A19" s="56" t="s">
        <v>99</v>
      </c>
      <c r="B19" s="57">
        <v>32029</v>
      </c>
      <c r="C19" s="58">
        <v>100</v>
      </c>
      <c r="D19" s="58">
        <v>0</v>
      </c>
      <c r="E19" s="58"/>
      <c r="F19" s="59"/>
      <c r="G19" s="60" t="s">
        <v>92</v>
      </c>
      <c r="H19" s="61" t="s">
        <v>120</v>
      </c>
    </row>
    <row r="20" spans="1:8" ht="15.75" customHeight="1">
      <c r="A20" s="62"/>
      <c r="B20" s="63">
        <v>32029</v>
      </c>
      <c r="C20" s="64">
        <v>16</v>
      </c>
      <c r="D20" s="64">
        <v>0</v>
      </c>
      <c r="E20" s="64"/>
      <c r="F20" s="65"/>
      <c r="G20" s="66" t="s">
        <v>92</v>
      </c>
      <c r="H20" s="67" t="s">
        <v>119</v>
      </c>
    </row>
    <row r="21" spans="1:8" ht="15.75" customHeight="1" thickBot="1">
      <c r="A21" s="68"/>
      <c r="B21" s="69">
        <v>32160</v>
      </c>
      <c r="C21" s="70">
        <v>20</v>
      </c>
      <c r="D21" s="70">
        <v>0</v>
      </c>
      <c r="E21" s="70"/>
      <c r="F21" s="71"/>
      <c r="G21" s="72" t="s">
        <v>92</v>
      </c>
      <c r="H21" s="73" t="s">
        <v>119</v>
      </c>
    </row>
    <row r="22" spans="1:8" ht="15.75" customHeight="1">
      <c r="A22" s="56" t="s">
        <v>100</v>
      </c>
      <c r="B22" s="57">
        <v>32429</v>
      </c>
      <c r="C22" s="58">
        <v>100</v>
      </c>
      <c r="D22" s="58">
        <v>0</v>
      </c>
      <c r="E22" s="58"/>
      <c r="F22" s="59"/>
      <c r="G22" s="60" t="s">
        <v>92</v>
      </c>
      <c r="H22" s="61" t="s">
        <v>120</v>
      </c>
    </row>
    <row r="23" spans="1:8" ht="15.75" customHeight="1">
      <c r="A23" s="62"/>
      <c r="B23" s="63">
        <v>32429</v>
      </c>
      <c r="C23" s="64">
        <v>40</v>
      </c>
      <c r="D23" s="64">
        <v>0</v>
      </c>
      <c r="E23" s="64"/>
      <c r="F23" s="65"/>
      <c r="G23" s="66" t="s">
        <v>92</v>
      </c>
      <c r="H23" s="67" t="s">
        <v>119</v>
      </c>
    </row>
    <row r="24" spans="1:8" ht="15.75" customHeight="1" thickBot="1">
      <c r="A24" s="68"/>
      <c r="B24" s="69">
        <v>32527</v>
      </c>
      <c r="C24" s="70">
        <v>40</v>
      </c>
      <c r="D24" s="70">
        <v>3</v>
      </c>
      <c r="E24" s="70"/>
      <c r="F24" s="71"/>
      <c r="G24" s="72" t="s">
        <v>92</v>
      </c>
      <c r="H24" s="73"/>
    </row>
    <row r="25" spans="1:8" ht="15.75" customHeight="1">
      <c r="A25" s="56" t="s">
        <v>101</v>
      </c>
      <c r="B25" s="57">
        <v>32786</v>
      </c>
      <c r="C25" s="58">
        <v>100</v>
      </c>
      <c r="D25" s="58">
        <v>0</v>
      </c>
      <c r="E25" s="58"/>
      <c r="F25" s="59"/>
      <c r="G25" s="60" t="s">
        <v>92</v>
      </c>
      <c r="H25" s="61" t="s">
        <v>120</v>
      </c>
    </row>
    <row r="26" spans="1:8" ht="15.75" customHeight="1" thickBot="1">
      <c r="A26" s="68"/>
      <c r="B26" s="69">
        <v>32786</v>
      </c>
      <c r="C26" s="70">
        <v>27</v>
      </c>
      <c r="D26" s="70">
        <v>0</v>
      </c>
      <c r="E26" s="70"/>
      <c r="F26" s="71"/>
      <c r="G26" s="72" t="s">
        <v>92</v>
      </c>
      <c r="H26" s="73" t="s">
        <v>119</v>
      </c>
    </row>
    <row r="27" spans="1:8" ht="15.75" customHeight="1">
      <c r="A27" s="56" t="s">
        <v>102</v>
      </c>
      <c r="B27" s="57">
        <v>33170</v>
      </c>
      <c r="C27" s="58">
        <v>100</v>
      </c>
      <c r="D27" s="58">
        <v>0</v>
      </c>
      <c r="E27" s="58"/>
      <c r="F27" s="59"/>
      <c r="G27" s="60" t="s">
        <v>92</v>
      </c>
      <c r="H27" s="61" t="s">
        <v>120</v>
      </c>
    </row>
    <row r="28" spans="1:8" ht="15.75" customHeight="1">
      <c r="A28" s="62"/>
      <c r="B28" s="63">
        <v>33170</v>
      </c>
      <c r="C28" s="64">
        <v>35</v>
      </c>
      <c r="D28" s="64">
        <v>0</v>
      </c>
      <c r="E28" s="64"/>
      <c r="F28" s="65"/>
      <c r="G28" s="66" t="s">
        <v>92</v>
      </c>
      <c r="H28" s="67" t="s">
        <v>119</v>
      </c>
    </row>
    <row r="29" spans="1:8" ht="15.75" customHeight="1" thickBot="1">
      <c r="A29" s="68"/>
      <c r="B29" s="69">
        <v>33242</v>
      </c>
      <c r="C29" s="70">
        <v>40</v>
      </c>
      <c r="D29" s="70">
        <v>0</v>
      </c>
      <c r="E29" s="70"/>
      <c r="F29" s="71"/>
      <c r="G29" s="72" t="s">
        <v>92</v>
      </c>
      <c r="H29" s="73" t="s">
        <v>119</v>
      </c>
    </row>
    <row r="30" spans="1:8" ht="15.75" customHeight="1">
      <c r="A30" s="56" t="s">
        <v>103</v>
      </c>
      <c r="B30" s="57">
        <v>33507</v>
      </c>
      <c r="C30" s="58">
        <v>100</v>
      </c>
      <c r="D30" s="58">
        <v>0</v>
      </c>
      <c r="E30" s="58"/>
      <c r="F30" s="59"/>
      <c r="G30" s="60" t="s">
        <v>104</v>
      </c>
      <c r="H30" s="61" t="s">
        <v>121</v>
      </c>
    </row>
    <row r="31" spans="1:8" ht="15.75" customHeight="1">
      <c r="A31" s="62"/>
      <c r="B31" s="63">
        <v>33507</v>
      </c>
      <c r="C31" s="64">
        <v>11</v>
      </c>
      <c r="D31" s="64">
        <v>0</v>
      </c>
      <c r="E31" s="64"/>
      <c r="F31" s="65"/>
      <c r="G31" s="66" t="s">
        <v>104</v>
      </c>
      <c r="H31" s="67" t="s">
        <v>119</v>
      </c>
    </row>
    <row r="32" spans="1:8" ht="15.75" customHeight="1" thickBot="1">
      <c r="A32" s="68"/>
      <c r="B32" s="69">
        <v>33596</v>
      </c>
      <c r="C32" s="70">
        <v>15</v>
      </c>
      <c r="D32" s="70">
        <v>0</v>
      </c>
      <c r="E32" s="70"/>
      <c r="F32" s="71"/>
      <c r="G32" s="72" t="s">
        <v>104</v>
      </c>
      <c r="H32" s="73" t="s">
        <v>119</v>
      </c>
    </row>
    <row r="33" spans="1:8" ht="15.75" customHeight="1">
      <c r="A33" s="56" t="s">
        <v>105</v>
      </c>
      <c r="B33" s="57">
        <v>33879</v>
      </c>
      <c r="C33" s="58">
        <v>100</v>
      </c>
      <c r="D33" s="58">
        <v>0</v>
      </c>
      <c r="E33" s="58"/>
      <c r="F33" s="59"/>
      <c r="G33" s="60" t="s">
        <v>104</v>
      </c>
      <c r="H33" s="61" t="s">
        <v>120</v>
      </c>
    </row>
    <row r="34" spans="1:8" ht="15.75" customHeight="1">
      <c r="A34" s="62"/>
      <c r="B34" s="63">
        <v>33879</v>
      </c>
      <c r="C34" s="64">
        <v>5</v>
      </c>
      <c r="D34" s="64">
        <v>0</v>
      </c>
      <c r="E34" s="64"/>
      <c r="F34" s="65"/>
      <c r="G34" s="66" t="s">
        <v>104</v>
      </c>
      <c r="H34" s="67" t="s">
        <v>119</v>
      </c>
    </row>
    <row r="35" spans="1:8" ht="16.5" customHeight="1">
      <c r="A35" s="62"/>
      <c r="B35" s="63">
        <v>33961</v>
      </c>
      <c r="C35" s="64">
        <v>15</v>
      </c>
      <c r="D35" s="64">
        <v>0</v>
      </c>
      <c r="E35" s="64"/>
      <c r="F35" s="65"/>
      <c r="G35" s="66" t="s">
        <v>104</v>
      </c>
      <c r="H35" s="67" t="s">
        <v>119</v>
      </c>
    </row>
    <row r="36" spans="1:8" ht="15.75" customHeight="1">
      <c r="A36" s="62"/>
      <c r="B36" s="63">
        <v>34003</v>
      </c>
      <c r="C36" s="64">
        <v>20</v>
      </c>
      <c r="D36" s="64">
        <v>0</v>
      </c>
      <c r="E36" s="64"/>
      <c r="F36" s="65"/>
      <c r="G36" s="66" t="s">
        <v>104</v>
      </c>
      <c r="H36" s="67" t="s">
        <v>119</v>
      </c>
    </row>
    <row r="37" spans="1:8" ht="15.75" customHeight="1" thickBot="1">
      <c r="A37" s="68"/>
      <c r="B37" s="69">
        <v>34017</v>
      </c>
      <c r="C37" s="70">
        <v>22</v>
      </c>
      <c r="D37" s="70">
        <v>0</v>
      </c>
      <c r="E37" s="70"/>
      <c r="F37" s="71"/>
      <c r="G37" s="72" t="s">
        <v>104</v>
      </c>
      <c r="H37" s="73" t="s">
        <v>119</v>
      </c>
    </row>
    <row r="38" spans="1:8" ht="15.75" customHeight="1">
      <c r="A38" s="56" t="s">
        <v>106</v>
      </c>
      <c r="B38" s="57">
        <v>34275</v>
      </c>
      <c r="C38" s="58">
        <v>100</v>
      </c>
      <c r="D38" s="58">
        <v>0</v>
      </c>
      <c r="E38" s="58"/>
      <c r="F38" s="59"/>
      <c r="G38" s="60" t="s">
        <v>104</v>
      </c>
      <c r="H38" s="61" t="s">
        <v>120</v>
      </c>
    </row>
    <row r="39" spans="1:8" ht="16.5" customHeight="1">
      <c r="A39" s="62"/>
      <c r="B39" s="63">
        <v>34275</v>
      </c>
      <c r="C39" s="64">
        <v>0</v>
      </c>
      <c r="D39" s="64">
        <v>0</v>
      </c>
      <c r="E39" s="64"/>
      <c r="F39" s="65"/>
      <c r="G39" s="66" t="s">
        <v>104</v>
      </c>
      <c r="H39" s="67" t="s">
        <v>119</v>
      </c>
    </row>
    <row r="40" spans="1:8" ht="15.75" customHeight="1">
      <c r="A40" s="62"/>
      <c r="B40" s="63">
        <v>34318</v>
      </c>
      <c r="C40" s="64">
        <v>4</v>
      </c>
      <c r="D40" s="64">
        <v>0</v>
      </c>
      <c r="E40" s="64"/>
      <c r="F40" s="65"/>
      <c r="G40" s="66" t="s">
        <v>104</v>
      </c>
      <c r="H40" s="67" t="s">
        <v>119</v>
      </c>
    </row>
    <row r="41" spans="1:8" ht="15.75" customHeight="1" thickBot="1">
      <c r="A41" s="68"/>
      <c r="B41" s="69">
        <v>34341</v>
      </c>
      <c r="C41" s="70">
        <v>7</v>
      </c>
      <c r="D41" s="70">
        <v>0</v>
      </c>
      <c r="E41" s="70"/>
      <c r="F41" s="71"/>
      <c r="G41" s="72" t="s">
        <v>104</v>
      </c>
      <c r="H41" s="73" t="s">
        <v>119</v>
      </c>
    </row>
    <row r="42" spans="1:8" ht="15.75" customHeight="1">
      <c r="A42" s="56" t="s">
        <v>108</v>
      </c>
      <c r="B42" s="57">
        <v>34607</v>
      </c>
      <c r="C42" s="58">
        <v>0</v>
      </c>
      <c r="D42" s="58">
        <v>0</v>
      </c>
      <c r="E42" s="58"/>
      <c r="F42" s="59"/>
      <c r="G42" s="60" t="s">
        <v>104</v>
      </c>
      <c r="H42" s="61" t="s">
        <v>120</v>
      </c>
    </row>
    <row r="43" spans="1:8" ht="15.75" customHeight="1">
      <c r="A43" s="62"/>
      <c r="B43" s="63">
        <v>34607</v>
      </c>
      <c r="C43" s="64">
        <v>0</v>
      </c>
      <c r="D43" s="64">
        <v>0</v>
      </c>
      <c r="E43" s="64"/>
      <c r="F43" s="65"/>
      <c r="G43" s="66" t="s">
        <v>104</v>
      </c>
      <c r="H43" s="67" t="s">
        <v>119</v>
      </c>
    </row>
    <row r="44" spans="1:8" ht="15.75" customHeight="1" thickBot="1">
      <c r="A44" s="62"/>
      <c r="B44" s="63">
        <v>34792</v>
      </c>
      <c r="C44" s="64">
        <v>0</v>
      </c>
      <c r="D44" s="64">
        <v>100</v>
      </c>
      <c r="E44" s="64"/>
      <c r="F44" s="65"/>
      <c r="G44" s="66" t="s">
        <v>104</v>
      </c>
      <c r="H44" s="67" t="s">
        <v>120</v>
      </c>
    </row>
    <row r="45" spans="1:8" ht="15.75" customHeight="1">
      <c r="A45" s="56" t="s">
        <v>109</v>
      </c>
      <c r="B45" s="57">
        <v>34971</v>
      </c>
      <c r="C45" s="58">
        <v>100</v>
      </c>
      <c r="D45" s="58">
        <v>0</v>
      </c>
      <c r="E45" s="58"/>
      <c r="F45" s="59"/>
      <c r="G45" s="60" t="s">
        <v>104</v>
      </c>
      <c r="H45" s="61" t="s">
        <v>120</v>
      </c>
    </row>
    <row r="46" spans="1:8" ht="15.75" customHeight="1">
      <c r="A46" s="62"/>
      <c r="B46" s="63">
        <v>34971</v>
      </c>
      <c r="C46" s="64">
        <v>0</v>
      </c>
      <c r="D46" s="64">
        <v>0</v>
      </c>
      <c r="E46" s="64"/>
      <c r="F46" s="65"/>
      <c r="G46" s="66" t="s">
        <v>104</v>
      </c>
      <c r="H46" s="67" t="s">
        <v>119</v>
      </c>
    </row>
    <row r="47" spans="1:8" ht="15.75" customHeight="1" thickBot="1">
      <c r="A47" s="68"/>
      <c r="B47" s="69">
        <v>35034</v>
      </c>
      <c r="C47" s="70">
        <v>5</v>
      </c>
      <c r="D47" s="70">
        <v>0</v>
      </c>
      <c r="E47" s="70"/>
      <c r="F47" s="71"/>
      <c r="G47" s="72" t="s">
        <v>104</v>
      </c>
      <c r="H47" s="73" t="s">
        <v>122</v>
      </c>
    </row>
    <row r="48" spans="1:8" ht="40.5" customHeight="1" thickBot="1">
      <c r="A48" s="56" t="s">
        <v>110</v>
      </c>
      <c r="B48" s="132" t="s">
        <v>123</v>
      </c>
      <c r="C48" s="131" t="s">
        <v>124</v>
      </c>
      <c r="D48" s="133" t="s">
        <v>125</v>
      </c>
      <c r="E48" s="58"/>
      <c r="F48" s="59"/>
      <c r="G48" s="60" t="s">
        <v>104</v>
      </c>
      <c r="H48" s="126" t="s">
        <v>126</v>
      </c>
    </row>
    <row r="49" spans="1:8" ht="42.75" customHeight="1" thickBot="1">
      <c r="A49" s="74" t="s">
        <v>112</v>
      </c>
      <c r="B49" s="134" t="s">
        <v>127</v>
      </c>
      <c r="C49" s="135" t="s">
        <v>128</v>
      </c>
      <c r="D49" s="76"/>
      <c r="E49" s="135"/>
      <c r="F49" s="149">
        <v>0.23</v>
      </c>
      <c r="G49" s="136" t="s">
        <v>129</v>
      </c>
      <c r="H49" s="80" t="s">
        <v>130</v>
      </c>
    </row>
    <row r="50" spans="1:8" ht="15.75" customHeight="1">
      <c r="A50" s="56" t="s">
        <v>113</v>
      </c>
      <c r="B50" s="57">
        <v>36110</v>
      </c>
      <c r="C50" s="112" t="s">
        <v>131</v>
      </c>
      <c r="D50" s="58"/>
      <c r="E50" s="106"/>
      <c r="F50" s="59"/>
      <c r="G50" s="60" t="s">
        <v>132</v>
      </c>
      <c r="H50" s="61"/>
    </row>
    <row r="51" spans="1:8" ht="15.75" customHeight="1" thickBot="1">
      <c r="A51" s="68"/>
      <c r="B51" s="69">
        <v>36110</v>
      </c>
      <c r="C51" s="113" t="s">
        <v>133</v>
      </c>
      <c r="D51" s="70"/>
      <c r="E51" s="110"/>
      <c r="F51" s="110">
        <v>0.37</v>
      </c>
      <c r="G51" s="72" t="s">
        <v>132</v>
      </c>
      <c r="H51" s="73"/>
    </row>
    <row r="52" spans="1:8" ht="15.75" customHeight="1">
      <c r="A52" s="56" t="s">
        <v>183</v>
      </c>
      <c r="B52" s="57">
        <v>36490</v>
      </c>
      <c r="C52" s="112" t="s">
        <v>131</v>
      </c>
      <c r="D52" s="58"/>
      <c r="E52" s="106">
        <v>1</v>
      </c>
      <c r="F52" s="59"/>
      <c r="G52" s="60" t="s">
        <v>132</v>
      </c>
      <c r="H52" s="61"/>
    </row>
    <row r="53" spans="1:8" ht="15.75" customHeight="1" thickBot="1">
      <c r="A53" s="68"/>
      <c r="B53" s="69">
        <v>36490</v>
      </c>
      <c r="C53" s="113" t="s">
        <v>221</v>
      </c>
      <c r="D53" s="70"/>
      <c r="E53" s="110">
        <v>1</v>
      </c>
      <c r="F53" s="143">
        <v>0.4</v>
      </c>
      <c r="G53" s="72" t="s">
        <v>132</v>
      </c>
      <c r="H53" s="73"/>
    </row>
    <row r="54" spans="1:8" s="5" customFormat="1" ht="12.75">
      <c r="A54" s="147" t="s">
        <v>234</v>
      </c>
      <c r="B54" s="7">
        <v>36800</v>
      </c>
      <c r="C54" s="112" t="s">
        <v>131</v>
      </c>
      <c r="D54" s="9"/>
      <c r="E54" s="106">
        <v>1</v>
      </c>
      <c r="F54" s="159">
        <f>136.466/264</f>
        <v>0.5169166666666667</v>
      </c>
      <c r="G54" s="9"/>
      <c r="H54" s="120"/>
    </row>
    <row r="55" spans="1:8" s="5" customFormat="1" ht="12.75">
      <c r="A55" s="158"/>
      <c r="B55" s="15"/>
      <c r="C55" s="194" t="s">
        <v>2</v>
      </c>
      <c r="D55" s="17"/>
      <c r="E55" s="107">
        <v>1</v>
      </c>
      <c r="F55" s="16"/>
      <c r="G55" s="17"/>
      <c r="H55" s="151"/>
    </row>
    <row r="56" spans="1:8" s="5" customFormat="1" ht="12.75">
      <c r="A56" s="158"/>
      <c r="B56" s="15">
        <v>36868</v>
      </c>
      <c r="C56" s="194" t="s">
        <v>131</v>
      </c>
      <c r="D56" s="17"/>
      <c r="E56" s="107">
        <v>1</v>
      </c>
      <c r="F56" s="16"/>
      <c r="G56" s="17"/>
      <c r="H56" s="151"/>
    </row>
    <row r="57" spans="1:8" s="5" customFormat="1" ht="13.5" thickBot="1">
      <c r="A57" s="148"/>
      <c r="B57" s="11"/>
      <c r="C57" s="113" t="s">
        <v>1</v>
      </c>
      <c r="D57" s="13"/>
      <c r="E57" s="110">
        <v>1</v>
      </c>
      <c r="F57" s="12"/>
      <c r="G57" s="13"/>
      <c r="H57" s="121"/>
    </row>
    <row r="58" spans="1:8" s="5" customFormat="1" ht="12.75">
      <c r="A58" s="260"/>
      <c r="B58" s="261"/>
      <c r="C58" s="218"/>
      <c r="D58" s="218"/>
      <c r="E58" s="218"/>
      <c r="F58" s="216"/>
      <c r="G58" s="216"/>
      <c r="H58" s="216"/>
    </row>
    <row r="59" spans="1:5" s="5" customFormat="1" ht="12.75">
      <c r="A59" s="27"/>
      <c r="B59" s="125"/>
      <c r="C59" s="28"/>
      <c r="D59" s="28"/>
      <c r="E59" s="28"/>
    </row>
    <row r="60" spans="1:5" s="5" customFormat="1" ht="12.75">
      <c r="A60" s="27"/>
      <c r="B60" s="125"/>
      <c r="C60" s="28"/>
      <c r="D60" s="28"/>
      <c r="E60" s="28"/>
    </row>
    <row r="61" spans="1:5" s="5" customFormat="1" ht="12.75">
      <c r="A61" s="27"/>
      <c r="B61" s="125"/>
      <c r="C61" s="28"/>
      <c r="D61" s="28"/>
      <c r="E61" s="28"/>
    </row>
    <row r="62" spans="1:5" s="5" customFormat="1" ht="12.75">
      <c r="A62" s="27"/>
      <c r="B62" s="125"/>
      <c r="C62" s="28"/>
      <c r="D62" s="28"/>
      <c r="E62" s="28"/>
    </row>
    <row r="63" spans="1:5" s="5" customFormat="1" ht="12.75">
      <c r="A63" s="27"/>
      <c r="B63" s="125"/>
      <c r="C63" s="28"/>
      <c r="D63" s="28"/>
      <c r="E63" s="28"/>
    </row>
    <row r="64" spans="1:5" s="5" customFormat="1" ht="12.75">
      <c r="A64" s="27"/>
      <c r="B64" s="125"/>
      <c r="C64" s="28"/>
      <c r="D64" s="28"/>
      <c r="E64" s="28"/>
    </row>
    <row r="65" spans="1:5" s="5" customFormat="1" ht="12.75">
      <c r="A65" s="27"/>
      <c r="B65" s="125"/>
      <c r="C65" s="28"/>
      <c r="D65" s="28"/>
      <c r="E65" s="28"/>
    </row>
    <row r="66" spans="1:5" s="5" customFormat="1" ht="12.75">
      <c r="A66" s="27"/>
      <c r="B66" s="125"/>
      <c r="C66" s="28"/>
      <c r="D66" s="28"/>
      <c r="E66" s="28"/>
    </row>
    <row r="67" spans="1:5" s="5" customFormat="1" ht="12.75">
      <c r="A67" s="27"/>
      <c r="B67" s="125"/>
      <c r="C67" s="28"/>
      <c r="D67" s="28"/>
      <c r="E67" s="28"/>
    </row>
    <row r="68" spans="1:5" s="5" customFormat="1" ht="12.75">
      <c r="A68" s="27"/>
      <c r="B68" s="125"/>
      <c r="C68" s="28"/>
      <c r="D68" s="28"/>
      <c r="E68" s="28"/>
    </row>
    <row r="69" spans="1:5" s="5" customFormat="1" ht="12.75">
      <c r="A69" s="27"/>
      <c r="B69" s="125"/>
      <c r="C69" s="28"/>
      <c r="D69" s="28"/>
      <c r="E69" s="28"/>
    </row>
    <row r="70" spans="1:5" s="5" customFormat="1" ht="12.75">
      <c r="A70" s="27"/>
      <c r="B70" s="125"/>
      <c r="C70" s="28"/>
      <c r="D70" s="28"/>
      <c r="E70" s="28"/>
    </row>
    <row r="71" spans="1:5" s="5" customFormat="1" ht="12.75">
      <c r="A71" s="27"/>
      <c r="B71" s="125"/>
      <c r="C71" s="28"/>
      <c r="D71" s="28"/>
      <c r="E71" s="28"/>
    </row>
    <row r="72" spans="1:5" s="5" customFormat="1" ht="12.75">
      <c r="A72" s="27"/>
      <c r="B72" s="125"/>
      <c r="C72" s="28"/>
      <c r="D72" s="28"/>
      <c r="E72" s="28"/>
    </row>
    <row r="73" spans="1:5" s="5" customFormat="1" ht="12.75">
      <c r="A73" s="27"/>
      <c r="B73" s="125"/>
      <c r="C73" s="28"/>
      <c r="D73" s="28"/>
      <c r="E73" s="28"/>
    </row>
    <row r="74" spans="1:5" s="5" customFormat="1" ht="12.75">
      <c r="A74" s="27"/>
      <c r="B74" s="125"/>
      <c r="C74" s="28"/>
      <c r="D74" s="28"/>
      <c r="E74" s="28"/>
    </row>
    <row r="75" spans="1:5" s="5" customFormat="1" ht="12.75">
      <c r="A75" s="27"/>
      <c r="B75" s="125"/>
      <c r="C75" s="28"/>
      <c r="D75" s="28"/>
      <c r="E75" s="28"/>
    </row>
    <row r="76" spans="1:5" s="5" customFormat="1" ht="12.75">
      <c r="A76" s="27"/>
      <c r="B76" s="125"/>
      <c r="C76" s="28"/>
      <c r="D76" s="28"/>
      <c r="E76" s="28"/>
    </row>
    <row r="77" spans="1:5" s="5" customFormat="1" ht="12.75">
      <c r="A77" s="27"/>
      <c r="B77" s="125"/>
      <c r="C77" s="28"/>
      <c r="D77" s="28"/>
      <c r="E77" s="28"/>
    </row>
    <row r="78" spans="1:5" s="5" customFormat="1" ht="12.75">
      <c r="A78" s="27"/>
      <c r="B78" s="125"/>
      <c r="C78" s="28"/>
      <c r="D78" s="28"/>
      <c r="E78" s="28"/>
    </row>
    <row r="79" spans="1:5" s="5" customFormat="1" ht="12.75">
      <c r="A79" s="27"/>
      <c r="B79" s="125"/>
      <c r="C79" s="28"/>
      <c r="D79" s="28"/>
      <c r="E79" s="28"/>
    </row>
    <row r="80" spans="1:5" s="5" customFormat="1" ht="12.75">
      <c r="A80" s="27"/>
      <c r="B80" s="125"/>
      <c r="C80" s="28"/>
      <c r="D80" s="28"/>
      <c r="E80" s="28"/>
    </row>
    <row r="81" spans="1:5" s="5" customFormat="1" ht="12.75">
      <c r="A81" s="27"/>
      <c r="B81" s="125"/>
      <c r="C81" s="28"/>
      <c r="D81" s="28"/>
      <c r="E81" s="28"/>
    </row>
    <row r="82" spans="1:5" s="5" customFormat="1" ht="12.75">
      <c r="A82" s="27"/>
      <c r="B82" s="125"/>
      <c r="C82" s="28"/>
      <c r="D82" s="28"/>
      <c r="E82" s="28"/>
    </row>
    <row r="83" spans="1:5" s="5" customFormat="1" ht="12.75">
      <c r="A83" s="27"/>
      <c r="B83" s="125"/>
      <c r="C83" s="28"/>
      <c r="D83" s="28"/>
      <c r="E83" s="28"/>
    </row>
    <row r="84" spans="1:5" s="5" customFormat="1" ht="12.75">
      <c r="A84" s="27"/>
      <c r="B84" s="125"/>
      <c r="C84" s="28"/>
      <c r="D84" s="28"/>
      <c r="E84" s="28"/>
    </row>
    <row r="85" spans="1:5" s="5" customFormat="1" ht="12.75">
      <c r="A85" s="27"/>
      <c r="B85" s="125"/>
      <c r="C85" s="28"/>
      <c r="D85" s="28"/>
      <c r="E85" s="28"/>
    </row>
    <row r="86" spans="1:5" s="5" customFormat="1" ht="12.75">
      <c r="A86" s="27"/>
      <c r="B86" s="125"/>
      <c r="C86" s="28"/>
      <c r="D86" s="28"/>
      <c r="E86" s="28"/>
    </row>
    <row r="87" spans="1:5" s="5" customFormat="1" ht="12.75">
      <c r="A87" s="27"/>
      <c r="B87" s="125"/>
      <c r="C87" s="28"/>
      <c r="D87" s="28"/>
      <c r="E87" s="28"/>
    </row>
    <row r="88" spans="1:5" s="5" customFormat="1" ht="12.75">
      <c r="A88" s="27"/>
      <c r="B88" s="125"/>
      <c r="C88" s="28"/>
      <c r="D88" s="28"/>
      <c r="E88" s="28"/>
    </row>
    <row r="89" spans="1:5" s="5" customFormat="1" ht="12.75">
      <c r="A89" s="27"/>
      <c r="B89" s="125"/>
      <c r="C89" s="28"/>
      <c r="D89" s="28"/>
      <c r="E89" s="28"/>
    </row>
  </sheetData>
  <printOptions/>
  <pageMargins left="0.7480314960629921" right="0.7480314960629921" top="0.9055118110236221" bottom="1.0236220472440944" header="0.5118110236220472" footer="0.5118110236220472"/>
  <pageSetup horizontalDpi="300" verticalDpi="300" orientation="landscape" paperSize="9" r:id="rId4"/>
  <headerFooter alignWithMargins="0">
    <oddHeader>&amp;LDate : &amp;D&amp;RFilename : g:\rivops\state\allocatn\&amp;F</oddHeader>
    <oddFooter>&amp;CPage &amp;P</oddFooter>
  </headerFooter>
  <drawing r:id="rId3"/>
  <legacyDrawing r:id="rId2"/>
</worksheet>
</file>

<file path=xl/worksheets/sheet5.xml><?xml version="1.0" encoding="utf-8"?>
<worksheet xmlns="http://schemas.openxmlformats.org/spreadsheetml/2006/main" xmlns:r="http://schemas.openxmlformats.org/officeDocument/2006/relationships">
  <dimension ref="A1:H32"/>
  <sheetViews>
    <sheetView showGridLines="0" workbookViewId="0" topLeftCell="A1">
      <pane xSplit="1" ySplit="6" topLeftCell="B7" activePane="bottomRight" state="frozen"/>
      <selection pane="topLeft" activeCell="A1" sqref="A1"/>
      <selection pane="topRight" activeCell="B1" sqref="B1"/>
      <selection pane="bottomLeft" activeCell="A7" sqref="A7"/>
      <selection pane="bottomRight" activeCell="B32" sqref="B32:H32"/>
    </sheetView>
  </sheetViews>
  <sheetFormatPr defaultColWidth="9.140625" defaultRowHeight="12.75"/>
  <cols>
    <col min="1" max="1" width="9.140625" style="14" customWidth="1"/>
    <col min="2" max="2" width="10.140625" style="17" customWidth="1"/>
    <col min="3" max="3" width="10.00390625" style="24" customWidth="1"/>
    <col min="4" max="4" width="11.00390625" style="24" customWidth="1"/>
    <col min="5" max="5" width="11.421875" style="24" customWidth="1"/>
    <col min="6" max="6" width="11.28125" style="17" customWidth="1"/>
    <col min="7" max="7" width="15.140625" style="17" bestFit="1" customWidth="1"/>
    <col min="8" max="8" width="54.140625" style="0" customWidth="1"/>
  </cols>
  <sheetData>
    <row r="1" spans="1:8" ht="24" customHeight="1" thickBot="1">
      <c r="A1" s="36" t="s">
        <v>134</v>
      </c>
      <c r="B1" s="2"/>
      <c r="C1" s="22"/>
      <c r="D1" s="22"/>
      <c r="E1" s="22"/>
      <c r="F1" s="2"/>
      <c r="G1" s="2"/>
      <c r="H1" s="3"/>
    </row>
    <row r="2" spans="1:8" ht="15.75" customHeight="1" thickBot="1">
      <c r="A2" s="29" t="s">
        <v>80</v>
      </c>
      <c r="B2" s="33"/>
      <c r="C2" s="34"/>
      <c r="D2" s="34"/>
      <c r="E2" s="34"/>
      <c r="F2" s="33"/>
      <c r="G2" s="33"/>
      <c r="H2" s="38" t="s">
        <v>81</v>
      </c>
    </row>
    <row r="3" spans="1:8" ht="54" customHeight="1" thickBot="1">
      <c r="A3" s="6"/>
      <c r="B3" s="2"/>
      <c r="C3" s="22"/>
      <c r="D3" s="22"/>
      <c r="E3" s="22"/>
      <c r="F3" s="2"/>
      <c r="G3" s="2"/>
      <c r="H3" s="3"/>
    </row>
    <row r="4" spans="1:8" ht="15.75" customHeight="1" thickBot="1">
      <c r="A4" s="29" t="s">
        <v>135</v>
      </c>
      <c r="B4" s="33"/>
      <c r="C4" s="34"/>
      <c r="D4" s="34"/>
      <c r="E4" s="34"/>
      <c r="F4" s="33"/>
      <c r="G4" s="33"/>
      <c r="H4" s="38"/>
    </row>
    <row r="5" spans="1:8" s="5" customFormat="1" ht="24">
      <c r="A5" s="39"/>
      <c r="B5" s="40" t="s">
        <v>83</v>
      </c>
      <c r="C5" s="41" t="s">
        <v>84</v>
      </c>
      <c r="D5" s="41" t="s">
        <v>85</v>
      </c>
      <c r="E5" s="51" t="s">
        <v>213</v>
      </c>
      <c r="F5" s="52"/>
      <c r="G5" s="42" t="s">
        <v>86</v>
      </c>
      <c r="H5" s="43"/>
    </row>
    <row r="6" spans="1:8" s="5" customFormat="1" ht="23.25" customHeight="1" thickBot="1">
      <c r="A6" s="44" t="s">
        <v>87</v>
      </c>
      <c r="B6" s="45" t="s">
        <v>86</v>
      </c>
      <c r="C6" s="46" t="s">
        <v>86</v>
      </c>
      <c r="D6" s="46" t="s">
        <v>88</v>
      </c>
      <c r="E6" s="49" t="s">
        <v>214</v>
      </c>
      <c r="F6" s="50" t="s">
        <v>215</v>
      </c>
      <c r="G6" s="47" t="s">
        <v>89</v>
      </c>
      <c r="H6" s="48" t="s">
        <v>90</v>
      </c>
    </row>
    <row r="7" spans="1:8" ht="15.75" customHeight="1" thickBot="1">
      <c r="A7" s="74" t="s">
        <v>97</v>
      </c>
      <c r="B7" s="75">
        <v>31285</v>
      </c>
      <c r="C7" s="76">
        <v>100</v>
      </c>
      <c r="D7" s="76">
        <v>0</v>
      </c>
      <c r="E7" s="76"/>
      <c r="F7" s="77"/>
      <c r="G7" s="78" t="s">
        <v>92</v>
      </c>
      <c r="H7" s="79"/>
    </row>
    <row r="8" spans="1:8" ht="15.75" customHeight="1" thickBot="1">
      <c r="A8" s="56" t="s">
        <v>98</v>
      </c>
      <c r="B8" s="57">
        <v>31611</v>
      </c>
      <c r="C8" s="58">
        <v>100</v>
      </c>
      <c r="D8" s="58">
        <v>0</v>
      </c>
      <c r="E8" s="58"/>
      <c r="F8" s="59"/>
      <c r="G8" s="60" t="s">
        <v>92</v>
      </c>
      <c r="H8" s="61"/>
    </row>
    <row r="9" spans="1:8" ht="15.75" customHeight="1" thickBot="1">
      <c r="A9" s="74" t="s">
        <v>99</v>
      </c>
      <c r="B9" s="75">
        <v>31971</v>
      </c>
      <c r="C9" s="76">
        <v>100</v>
      </c>
      <c r="D9" s="76">
        <v>0</v>
      </c>
      <c r="E9" s="76"/>
      <c r="F9" s="77"/>
      <c r="G9" s="78" t="s">
        <v>92</v>
      </c>
      <c r="H9" s="79"/>
    </row>
    <row r="10" spans="1:8" ht="15.75" customHeight="1" thickBot="1">
      <c r="A10" s="56" t="s">
        <v>100</v>
      </c>
      <c r="B10" s="57">
        <v>32374</v>
      </c>
      <c r="C10" s="58">
        <v>100</v>
      </c>
      <c r="D10" s="58">
        <v>0</v>
      </c>
      <c r="E10" s="58"/>
      <c r="F10" s="59"/>
      <c r="G10" s="60" t="s">
        <v>92</v>
      </c>
      <c r="H10" s="61"/>
    </row>
    <row r="11" spans="1:8" ht="15.75" customHeight="1" thickBot="1">
      <c r="A11" s="74" t="s">
        <v>101</v>
      </c>
      <c r="B11" s="75">
        <v>32721</v>
      </c>
      <c r="C11" s="76">
        <v>100</v>
      </c>
      <c r="D11" s="76">
        <v>0</v>
      </c>
      <c r="E11" s="76"/>
      <c r="F11" s="77"/>
      <c r="G11" s="78" t="s">
        <v>92</v>
      </c>
      <c r="H11" s="79"/>
    </row>
    <row r="12" spans="1:8" ht="15.75" customHeight="1" thickBot="1">
      <c r="A12" s="74" t="s">
        <v>102</v>
      </c>
      <c r="B12" s="75">
        <v>33111</v>
      </c>
      <c r="C12" s="76">
        <v>100</v>
      </c>
      <c r="D12" s="76">
        <v>0</v>
      </c>
      <c r="E12" s="76"/>
      <c r="F12" s="77"/>
      <c r="G12" s="78" t="s">
        <v>92</v>
      </c>
      <c r="H12" s="79"/>
    </row>
    <row r="13" spans="1:8" ht="15.75" customHeight="1" thickBot="1">
      <c r="A13" s="74" t="s">
        <v>103</v>
      </c>
      <c r="B13" s="75">
        <v>33442</v>
      </c>
      <c r="C13" s="76">
        <v>100</v>
      </c>
      <c r="D13" s="76">
        <v>0</v>
      </c>
      <c r="E13" s="76"/>
      <c r="F13" s="77"/>
      <c r="G13" s="78" t="s">
        <v>92</v>
      </c>
      <c r="H13" s="79"/>
    </row>
    <row r="14" spans="1:8" ht="15.75" customHeight="1" thickBot="1">
      <c r="A14" s="74" t="s">
        <v>105</v>
      </c>
      <c r="B14" s="75">
        <v>33828</v>
      </c>
      <c r="C14" s="76">
        <v>100</v>
      </c>
      <c r="D14" s="76">
        <v>0</v>
      </c>
      <c r="E14" s="76"/>
      <c r="F14" s="77"/>
      <c r="G14" s="78" t="s">
        <v>104</v>
      </c>
      <c r="H14" s="79"/>
    </row>
    <row r="15" spans="1:8" ht="15.75" customHeight="1" thickBot="1">
      <c r="A15" s="74" t="s">
        <v>106</v>
      </c>
      <c r="B15" s="75">
        <v>34183</v>
      </c>
      <c r="C15" s="76">
        <v>100</v>
      </c>
      <c r="D15" s="76">
        <v>0</v>
      </c>
      <c r="E15" s="76"/>
      <c r="F15" s="77"/>
      <c r="G15" s="78" t="s">
        <v>104</v>
      </c>
      <c r="H15" s="79"/>
    </row>
    <row r="16" spans="1:8" ht="15.75" customHeight="1" thickBot="1">
      <c r="A16" s="74" t="s">
        <v>108</v>
      </c>
      <c r="B16" s="75">
        <v>34569</v>
      </c>
      <c r="C16" s="76">
        <v>100</v>
      </c>
      <c r="D16" s="76">
        <v>0</v>
      </c>
      <c r="E16" s="76"/>
      <c r="F16" s="77"/>
      <c r="G16" s="78" t="s">
        <v>104</v>
      </c>
      <c r="H16" s="79"/>
    </row>
    <row r="17" spans="1:8" ht="15.75" customHeight="1" thickBot="1">
      <c r="A17" s="74" t="s">
        <v>109</v>
      </c>
      <c r="B17" s="75">
        <v>34913</v>
      </c>
      <c r="C17" s="76">
        <v>100</v>
      </c>
      <c r="D17" s="76">
        <v>0</v>
      </c>
      <c r="E17" s="76"/>
      <c r="F17" s="77"/>
      <c r="G17" s="78" t="s">
        <v>104</v>
      </c>
      <c r="H17" s="79"/>
    </row>
    <row r="18" spans="1:8" ht="26.25" thickBot="1">
      <c r="A18" s="127" t="s">
        <v>110</v>
      </c>
      <c r="B18" s="21"/>
      <c r="C18" s="26">
        <v>100</v>
      </c>
      <c r="D18" s="26"/>
      <c r="E18" s="26"/>
      <c r="F18" s="21"/>
      <c r="G18" s="21"/>
      <c r="H18" s="80" t="s">
        <v>244</v>
      </c>
    </row>
    <row r="19" spans="1:8" ht="26.25" thickBot="1">
      <c r="A19" s="127" t="s">
        <v>112</v>
      </c>
      <c r="B19" s="21"/>
      <c r="C19" s="26">
        <v>100</v>
      </c>
      <c r="D19" s="26"/>
      <c r="E19" s="26"/>
      <c r="F19" s="21"/>
      <c r="G19" s="21"/>
      <c r="H19" s="80" t="s">
        <v>244</v>
      </c>
    </row>
    <row r="20" spans="1:8" s="175" customFormat="1" ht="27.75" customHeight="1" thickBot="1">
      <c r="A20" s="170" t="s">
        <v>113</v>
      </c>
      <c r="B20" s="171">
        <v>36014</v>
      </c>
      <c r="C20" s="176">
        <v>100</v>
      </c>
      <c r="D20" s="176">
        <v>0</v>
      </c>
      <c r="E20" s="176">
        <v>100</v>
      </c>
      <c r="F20" s="177"/>
      <c r="G20" s="178" t="s">
        <v>216</v>
      </c>
      <c r="H20" s="174" t="s">
        <v>236</v>
      </c>
    </row>
    <row r="21" spans="1:8" s="175" customFormat="1" ht="17.25" customHeight="1" thickBot="1">
      <c r="A21" s="170" t="s">
        <v>183</v>
      </c>
      <c r="B21" s="171">
        <v>36508</v>
      </c>
      <c r="C21" s="176">
        <v>100</v>
      </c>
      <c r="D21" s="172"/>
      <c r="E21" s="176">
        <v>100</v>
      </c>
      <c r="F21" s="177"/>
      <c r="G21" s="173" t="s">
        <v>216</v>
      </c>
      <c r="H21" s="169"/>
    </row>
    <row r="22" spans="1:8" ht="12.75">
      <c r="A22" s="147" t="s">
        <v>234</v>
      </c>
      <c r="B22" s="7">
        <v>36749</v>
      </c>
      <c r="C22" s="159">
        <v>1</v>
      </c>
      <c r="D22" s="159"/>
      <c r="E22" s="159">
        <v>2.5</v>
      </c>
      <c r="F22" s="159">
        <v>1.6</v>
      </c>
      <c r="G22" s="9" t="s">
        <v>216</v>
      </c>
      <c r="H22" s="120" t="s">
        <v>243</v>
      </c>
    </row>
    <row r="23" spans="1:8" ht="13.5" thickBot="1">
      <c r="A23" s="158"/>
      <c r="B23" s="15"/>
      <c r="C23" s="157"/>
      <c r="D23" s="157"/>
      <c r="E23" s="157"/>
      <c r="F23" s="157"/>
      <c r="H23" s="203" t="s">
        <v>237</v>
      </c>
    </row>
    <row r="24" spans="1:8" ht="12.75">
      <c r="A24" s="204" t="s">
        <v>3</v>
      </c>
      <c r="B24" s="205">
        <v>37092</v>
      </c>
      <c r="C24" s="206">
        <v>0.68</v>
      </c>
      <c r="D24" s="206"/>
      <c r="E24" s="206">
        <v>2.5</v>
      </c>
      <c r="F24" s="206">
        <v>1.65</v>
      </c>
      <c r="G24" s="207" t="s">
        <v>216</v>
      </c>
      <c r="H24" s="208"/>
    </row>
    <row r="25" spans="2:8" ht="12.75">
      <c r="B25" s="15">
        <v>37264</v>
      </c>
      <c r="C25" s="157">
        <v>0.8</v>
      </c>
      <c r="D25" s="157"/>
      <c r="E25" s="157">
        <v>2.5</v>
      </c>
      <c r="F25" s="157">
        <v>1.65</v>
      </c>
      <c r="G25" s="17" t="s">
        <v>216</v>
      </c>
      <c r="H25" s="209"/>
    </row>
    <row r="26" spans="1:8" ht="13.5" thickBot="1">
      <c r="A26" s="210"/>
      <c r="B26" s="211">
        <v>37348</v>
      </c>
      <c r="C26" s="212">
        <v>0.9</v>
      </c>
      <c r="D26" s="212"/>
      <c r="E26" s="212">
        <v>2.5</v>
      </c>
      <c r="F26" s="212">
        <v>1.65</v>
      </c>
      <c r="G26" s="213" t="s">
        <v>216</v>
      </c>
      <c r="H26" s="214"/>
    </row>
    <row r="27" spans="1:8" ht="12.75">
      <c r="A27" s="204" t="s">
        <v>10</v>
      </c>
      <c r="B27" s="205">
        <v>37467</v>
      </c>
      <c r="C27" s="206">
        <v>0</v>
      </c>
      <c r="D27" s="206"/>
      <c r="E27" s="206">
        <v>2.5</v>
      </c>
      <c r="F27" s="206">
        <v>1.4</v>
      </c>
      <c r="G27" s="207" t="s">
        <v>216</v>
      </c>
      <c r="H27" s="208"/>
    </row>
    <row r="28" spans="3:8" ht="13.5" thickBot="1">
      <c r="C28" s="157"/>
      <c r="D28" s="157"/>
      <c r="E28" s="157"/>
      <c r="F28" s="157"/>
      <c r="H28" s="209"/>
    </row>
    <row r="29" spans="1:8" ht="12.75">
      <c r="A29" s="147" t="s">
        <v>13</v>
      </c>
      <c r="B29" s="7">
        <v>37806</v>
      </c>
      <c r="C29" s="159">
        <v>0</v>
      </c>
      <c r="D29" s="159"/>
      <c r="E29" s="159">
        <v>2.5</v>
      </c>
      <c r="F29" s="159">
        <v>1</v>
      </c>
      <c r="G29" s="9" t="s">
        <v>216</v>
      </c>
      <c r="H29" s="120" t="s">
        <v>17</v>
      </c>
    </row>
    <row r="30" spans="1:8" ht="12.75">
      <c r="A30" s="158"/>
      <c r="B30" s="15">
        <v>37865</v>
      </c>
      <c r="C30" s="24">
        <v>9</v>
      </c>
      <c r="D30" s="157"/>
      <c r="E30" s="157">
        <v>2.5</v>
      </c>
      <c r="F30" s="157">
        <v>1</v>
      </c>
      <c r="G30" s="17" t="s">
        <v>216</v>
      </c>
      <c r="H30" s="151" t="s">
        <v>17</v>
      </c>
    </row>
    <row r="31" spans="1:8" ht="13.5" thickBot="1">
      <c r="A31" s="148"/>
      <c r="B31" s="11">
        <v>37904</v>
      </c>
      <c r="C31" s="25">
        <v>19</v>
      </c>
      <c r="D31" s="146"/>
      <c r="E31" s="146">
        <v>2.5</v>
      </c>
      <c r="F31" s="146">
        <v>1</v>
      </c>
      <c r="G31" s="13" t="s">
        <v>216</v>
      </c>
      <c r="H31" s="121" t="s">
        <v>17</v>
      </c>
    </row>
    <row r="32" spans="1:8" ht="18" customHeight="1" thickBot="1">
      <c r="A32" s="127" t="s">
        <v>43</v>
      </c>
      <c r="B32" s="338" t="s">
        <v>55</v>
      </c>
      <c r="C32" s="339"/>
      <c r="D32" s="339"/>
      <c r="E32" s="339"/>
      <c r="F32" s="339"/>
      <c r="G32" s="339"/>
      <c r="H32" s="337"/>
    </row>
  </sheetData>
  <mergeCells count="1">
    <mergeCell ref="B32:H32"/>
  </mergeCells>
  <printOptions/>
  <pageMargins left="0.75" right="0.75" top="0.9" bottom="0.82" header="0.5" footer="0.5"/>
  <pageSetup horizontalDpi="300" verticalDpi="300" orientation="landscape" paperSize="9" r:id="rId2"/>
  <headerFooter alignWithMargins="0">
    <oddHeader>&amp;LDate : &amp;D&amp;RFilename : g:\rivops\state\allocatn\&amp;F</oddHeader>
    <oddFooter>&amp;CPage &amp;P</oddFooter>
  </headerFooter>
  <drawing r:id="rId1"/>
</worksheet>
</file>

<file path=xl/worksheets/sheet6.xml><?xml version="1.0" encoding="utf-8"?>
<worksheet xmlns="http://schemas.openxmlformats.org/spreadsheetml/2006/main" xmlns:r="http://schemas.openxmlformats.org/officeDocument/2006/relationships">
  <dimension ref="A1:H62"/>
  <sheetViews>
    <sheetView showGridLines="0" workbookViewId="0" topLeftCell="A1">
      <pane xSplit="1" ySplit="6" topLeftCell="B7" activePane="bottomRight" state="frozen"/>
      <selection pane="topLeft" activeCell="A1" sqref="A1"/>
      <selection pane="topRight" activeCell="B1" sqref="B1"/>
      <selection pane="bottomLeft" activeCell="A7" sqref="A7"/>
      <selection pane="bottomRight" activeCell="B32" sqref="B32:H32"/>
    </sheetView>
  </sheetViews>
  <sheetFormatPr defaultColWidth="9.140625" defaultRowHeight="12.75"/>
  <cols>
    <col min="1" max="1" width="9.140625" style="14" customWidth="1"/>
    <col min="2" max="2" width="10.140625" style="17" customWidth="1"/>
    <col min="3" max="3" width="10.00390625" style="24" customWidth="1"/>
    <col min="4" max="4" width="11.00390625" style="24" customWidth="1"/>
    <col min="5" max="5" width="11.421875" style="24" customWidth="1"/>
    <col min="6" max="6" width="11.140625" style="17" customWidth="1"/>
    <col min="7" max="7" width="12.8515625" style="17" customWidth="1"/>
    <col min="8" max="8" width="54.140625" style="0" customWidth="1"/>
  </cols>
  <sheetData>
    <row r="1" spans="1:8" ht="24" customHeight="1" thickBot="1">
      <c r="A1" s="36" t="s">
        <v>136</v>
      </c>
      <c r="B1" s="2"/>
      <c r="C1" s="22"/>
      <c r="D1" s="22"/>
      <c r="E1" s="22"/>
      <c r="F1" s="2"/>
      <c r="G1" s="2"/>
      <c r="H1" s="3"/>
    </row>
    <row r="2" spans="1:8" ht="15.75" customHeight="1" thickBot="1">
      <c r="A2" s="29" t="s">
        <v>80</v>
      </c>
      <c r="B2" s="33"/>
      <c r="C2" s="34"/>
      <c r="D2" s="34"/>
      <c r="E2" s="34"/>
      <c r="F2" s="33"/>
      <c r="G2" s="33"/>
      <c r="H2" s="38" t="s">
        <v>81</v>
      </c>
    </row>
    <row r="3" spans="1:8" ht="54" customHeight="1" thickBot="1">
      <c r="A3" s="6"/>
      <c r="B3" s="2"/>
      <c r="C3" s="22"/>
      <c r="D3" s="22"/>
      <c r="E3" s="22"/>
      <c r="F3" s="2"/>
      <c r="G3" s="2"/>
      <c r="H3" s="3"/>
    </row>
    <row r="4" spans="1:8" ht="15.75" customHeight="1" thickBot="1">
      <c r="A4" s="29" t="s">
        <v>137</v>
      </c>
      <c r="B4" s="33"/>
      <c r="C4" s="34"/>
      <c r="D4" s="34"/>
      <c r="E4" s="34"/>
      <c r="F4" s="33"/>
      <c r="G4" s="33"/>
      <c r="H4" s="38"/>
    </row>
    <row r="5" spans="1:8" s="5" customFormat="1" ht="24">
      <c r="A5" s="39"/>
      <c r="B5" s="40" t="s">
        <v>83</v>
      </c>
      <c r="C5" s="41" t="s">
        <v>84</v>
      </c>
      <c r="D5" s="41" t="s">
        <v>85</v>
      </c>
      <c r="E5" s="51" t="s">
        <v>213</v>
      </c>
      <c r="F5" s="52"/>
      <c r="G5" s="42" t="s">
        <v>86</v>
      </c>
      <c r="H5" s="43"/>
    </row>
    <row r="6" spans="1:8" s="5" customFormat="1" ht="23.25" customHeight="1" thickBot="1">
      <c r="A6" s="44" t="s">
        <v>87</v>
      </c>
      <c r="B6" s="45" t="s">
        <v>86</v>
      </c>
      <c r="C6" s="46" t="s">
        <v>86</v>
      </c>
      <c r="D6" s="46" t="s">
        <v>88</v>
      </c>
      <c r="E6" s="49" t="s">
        <v>214</v>
      </c>
      <c r="F6" s="50" t="s">
        <v>215</v>
      </c>
      <c r="G6" s="47" t="s">
        <v>89</v>
      </c>
      <c r="H6" s="48" t="s">
        <v>90</v>
      </c>
    </row>
    <row r="7" spans="1:8" ht="15.75" customHeight="1" thickBot="1">
      <c r="A7" s="56" t="s">
        <v>91</v>
      </c>
      <c r="B7" s="57">
        <v>29858</v>
      </c>
      <c r="C7" s="58">
        <v>100</v>
      </c>
      <c r="D7" s="58">
        <v>0</v>
      </c>
      <c r="E7" s="58"/>
      <c r="F7" s="59"/>
      <c r="G7" s="60" t="s">
        <v>92</v>
      </c>
      <c r="H7" s="61"/>
    </row>
    <row r="8" spans="1:8" ht="15.75" customHeight="1" thickBot="1">
      <c r="A8" s="56" t="s">
        <v>93</v>
      </c>
      <c r="B8" s="57">
        <v>30190</v>
      </c>
      <c r="C8" s="58">
        <v>100</v>
      </c>
      <c r="D8" s="58">
        <v>0</v>
      </c>
      <c r="E8" s="58"/>
      <c r="F8" s="59"/>
      <c r="G8" s="60" t="s">
        <v>92</v>
      </c>
      <c r="H8" s="61"/>
    </row>
    <row r="9" spans="1:8" ht="15.75" customHeight="1" thickBot="1">
      <c r="A9" s="56" t="s">
        <v>95</v>
      </c>
      <c r="B9" s="57">
        <v>30546</v>
      </c>
      <c r="C9" s="58">
        <v>100</v>
      </c>
      <c r="D9" s="58">
        <v>0</v>
      </c>
      <c r="E9" s="58"/>
      <c r="F9" s="59"/>
      <c r="G9" s="60" t="s">
        <v>92</v>
      </c>
      <c r="H9" s="61"/>
    </row>
    <row r="10" spans="1:8" ht="15.75" customHeight="1" thickBot="1">
      <c r="A10" s="56" t="s">
        <v>96</v>
      </c>
      <c r="B10" s="57">
        <v>30865</v>
      </c>
      <c r="C10" s="58">
        <v>100</v>
      </c>
      <c r="D10" s="58">
        <v>0</v>
      </c>
      <c r="E10" s="58"/>
      <c r="F10" s="59"/>
      <c r="G10" s="60" t="s">
        <v>92</v>
      </c>
      <c r="H10" s="61"/>
    </row>
    <row r="11" spans="1:8" ht="15.75" customHeight="1" thickBot="1">
      <c r="A11" s="74" t="s">
        <v>97</v>
      </c>
      <c r="B11" s="75">
        <v>31247</v>
      </c>
      <c r="C11" s="76">
        <v>100</v>
      </c>
      <c r="D11" s="76">
        <v>0</v>
      </c>
      <c r="E11" s="76"/>
      <c r="F11" s="77"/>
      <c r="G11" s="78" t="s">
        <v>92</v>
      </c>
      <c r="H11" s="79"/>
    </row>
    <row r="12" spans="1:8" ht="15.75" customHeight="1" thickBot="1">
      <c r="A12" s="56" t="s">
        <v>98</v>
      </c>
      <c r="B12" s="57">
        <v>31605</v>
      </c>
      <c r="C12" s="58">
        <v>100</v>
      </c>
      <c r="D12" s="58">
        <v>0</v>
      </c>
      <c r="E12" s="58"/>
      <c r="F12" s="59"/>
      <c r="G12" s="60" t="s">
        <v>92</v>
      </c>
      <c r="H12" s="61"/>
    </row>
    <row r="13" spans="1:8" ht="15.75" customHeight="1" thickBot="1">
      <c r="A13" s="74" t="s">
        <v>99</v>
      </c>
      <c r="B13" s="75">
        <v>31975</v>
      </c>
      <c r="C13" s="76">
        <v>100</v>
      </c>
      <c r="D13" s="76">
        <v>0</v>
      </c>
      <c r="E13" s="76"/>
      <c r="F13" s="77"/>
      <c r="G13" s="78" t="s">
        <v>92</v>
      </c>
      <c r="H13" s="79"/>
    </row>
    <row r="14" spans="1:8" ht="15.75" customHeight="1" thickBot="1">
      <c r="A14" s="56" t="s">
        <v>100</v>
      </c>
      <c r="B14" s="57">
        <v>32365</v>
      </c>
      <c r="C14" s="58">
        <v>100</v>
      </c>
      <c r="D14" s="58">
        <v>0</v>
      </c>
      <c r="E14" s="58"/>
      <c r="F14" s="59"/>
      <c r="G14" s="60" t="s">
        <v>92</v>
      </c>
      <c r="H14" s="61"/>
    </row>
    <row r="15" spans="1:8" ht="15.75" customHeight="1" thickBot="1">
      <c r="A15" s="74" t="s">
        <v>101</v>
      </c>
      <c r="B15" s="75">
        <v>32736</v>
      </c>
      <c r="C15" s="76">
        <v>100</v>
      </c>
      <c r="D15" s="76">
        <v>0</v>
      </c>
      <c r="E15" s="76"/>
      <c r="F15" s="77"/>
      <c r="G15" s="78" t="s">
        <v>92</v>
      </c>
      <c r="H15" s="79"/>
    </row>
    <row r="16" spans="1:8" ht="15.75" customHeight="1" thickBot="1">
      <c r="A16" s="74" t="s">
        <v>102</v>
      </c>
      <c r="B16" s="75">
        <v>33228</v>
      </c>
      <c r="C16" s="76">
        <v>100</v>
      </c>
      <c r="D16" s="76">
        <v>0</v>
      </c>
      <c r="E16" s="76"/>
      <c r="F16" s="77"/>
      <c r="G16" s="78" t="s">
        <v>92</v>
      </c>
      <c r="H16" s="79"/>
    </row>
    <row r="17" spans="1:8" ht="15.75" customHeight="1" thickBot="1">
      <c r="A17" s="74" t="s">
        <v>103</v>
      </c>
      <c r="B17" s="75">
        <v>33494</v>
      </c>
      <c r="C17" s="76">
        <v>100</v>
      </c>
      <c r="D17" s="76">
        <v>0</v>
      </c>
      <c r="E17" s="76"/>
      <c r="F17" s="77"/>
      <c r="G17" s="78" t="s">
        <v>104</v>
      </c>
      <c r="H17" s="79"/>
    </row>
    <row r="18" spans="1:8" ht="15.75" customHeight="1" thickBot="1">
      <c r="A18" s="74" t="s">
        <v>105</v>
      </c>
      <c r="B18" s="75">
        <v>33957</v>
      </c>
      <c r="C18" s="76">
        <v>100</v>
      </c>
      <c r="D18" s="76">
        <v>0</v>
      </c>
      <c r="E18" s="76"/>
      <c r="F18" s="77"/>
      <c r="G18" s="78" t="s">
        <v>104</v>
      </c>
      <c r="H18" s="79"/>
    </row>
    <row r="19" spans="1:8" ht="15.75" customHeight="1" thickBot="1">
      <c r="A19" s="74" t="s">
        <v>106</v>
      </c>
      <c r="B19" s="75">
        <v>34318</v>
      </c>
      <c r="C19" s="76">
        <v>100</v>
      </c>
      <c r="D19" s="76">
        <v>0</v>
      </c>
      <c r="E19" s="76"/>
      <c r="F19" s="77"/>
      <c r="G19" s="78" t="s">
        <v>104</v>
      </c>
      <c r="H19" s="79"/>
    </row>
    <row r="20" spans="1:8" ht="15.75" customHeight="1" thickBot="1">
      <c r="A20" s="74" t="s">
        <v>108</v>
      </c>
      <c r="B20" s="75">
        <v>34655</v>
      </c>
      <c r="C20" s="76">
        <v>100</v>
      </c>
      <c r="D20" s="76">
        <v>0</v>
      </c>
      <c r="E20" s="76"/>
      <c r="F20" s="77"/>
      <c r="G20" s="78" t="s">
        <v>104</v>
      </c>
      <c r="H20" s="79"/>
    </row>
    <row r="21" spans="1:8" ht="15.75" customHeight="1" thickBot="1">
      <c r="A21" s="74" t="s">
        <v>109</v>
      </c>
      <c r="B21" s="75">
        <v>34947</v>
      </c>
      <c r="C21" s="76">
        <v>100</v>
      </c>
      <c r="D21" s="76">
        <v>0</v>
      </c>
      <c r="E21" s="76"/>
      <c r="F21" s="77"/>
      <c r="G21" s="78" t="s">
        <v>104</v>
      </c>
      <c r="H21" s="79"/>
    </row>
    <row r="22" spans="1:8" ht="30" customHeight="1" thickBot="1">
      <c r="A22" s="74" t="s">
        <v>110</v>
      </c>
      <c r="B22" s="75"/>
      <c r="C22" s="76">
        <v>100</v>
      </c>
      <c r="D22" s="76"/>
      <c r="E22" s="76"/>
      <c r="F22" s="77"/>
      <c r="G22" s="78"/>
      <c r="H22" s="80" t="s">
        <v>244</v>
      </c>
    </row>
    <row r="23" spans="1:8" ht="26.25" thickBot="1">
      <c r="A23" s="74" t="s">
        <v>112</v>
      </c>
      <c r="B23" s="75"/>
      <c r="C23" s="76">
        <v>100</v>
      </c>
      <c r="D23" s="76"/>
      <c r="E23" s="76"/>
      <c r="F23" s="77"/>
      <c r="G23" s="78"/>
      <c r="H23" s="80" t="s">
        <v>244</v>
      </c>
    </row>
    <row r="24" spans="1:8" ht="26.25" thickBot="1">
      <c r="A24" s="74" t="s">
        <v>113</v>
      </c>
      <c r="B24" s="75"/>
      <c r="C24" s="76">
        <v>100</v>
      </c>
      <c r="D24" s="76"/>
      <c r="E24" s="76"/>
      <c r="F24" s="77"/>
      <c r="G24" s="78"/>
      <c r="H24" s="80" t="s">
        <v>244</v>
      </c>
    </row>
    <row r="25" spans="1:8" s="5" customFormat="1" ht="26.25" thickBot="1">
      <c r="A25" s="74" t="s">
        <v>183</v>
      </c>
      <c r="B25" s="75"/>
      <c r="C25" s="76">
        <v>100</v>
      </c>
      <c r="D25" s="76"/>
      <c r="E25" s="76"/>
      <c r="F25" s="77"/>
      <c r="G25" s="78"/>
      <c r="H25" s="80" t="s">
        <v>244</v>
      </c>
    </row>
    <row r="26" spans="1:8" s="5" customFormat="1" ht="26.25" thickBot="1">
      <c r="A26" s="180" t="s">
        <v>234</v>
      </c>
      <c r="B26" s="75"/>
      <c r="C26" s="144">
        <v>1</v>
      </c>
      <c r="D26" s="144">
        <v>0</v>
      </c>
      <c r="E26" s="144"/>
      <c r="F26" s="144"/>
      <c r="G26" s="77"/>
      <c r="H26" s="80" t="s">
        <v>244</v>
      </c>
    </row>
    <row r="27" spans="1:8" s="5" customFormat="1" ht="26.25" thickBot="1">
      <c r="A27" s="180" t="s">
        <v>3</v>
      </c>
      <c r="B27" s="75"/>
      <c r="C27" s="144">
        <v>1</v>
      </c>
      <c r="D27" s="144">
        <v>0</v>
      </c>
      <c r="E27" s="144"/>
      <c r="F27" s="144"/>
      <c r="G27" s="77"/>
      <c r="H27" s="80" t="s">
        <v>244</v>
      </c>
    </row>
    <row r="28" spans="1:8" s="5" customFormat="1" ht="13.5" thickBot="1">
      <c r="A28" s="180" t="s">
        <v>10</v>
      </c>
      <c r="B28" s="75"/>
      <c r="C28" s="144">
        <v>1</v>
      </c>
      <c r="D28" s="144"/>
      <c r="E28" s="144"/>
      <c r="F28" s="144"/>
      <c r="G28" s="77"/>
      <c r="H28" s="80"/>
    </row>
    <row r="29" spans="1:8" s="5" customFormat="1" ht="25.5">
      <c r="A29" s="268" t="s">
        <v>13</v>
      </c>
      <c r="B29" s="269">
        <v>37840</v>
      </c>
      <c r="C29" s="141">
        <v>0</v>
      </c>
      <c r="D29" s="141">
        <v>0</v>
      </c>
      <c r="E29" s="141"/>
      <c r="F29" s="141"/>
      <c r="G29" s="59"/>
      <c r="H29" s="126" t="s">
        <v>37</v>
      </c>
    </row>
    <row r="30" spans="1:8" s="5" customFormat="1" ht="25.5">
      <c r="A30" s="276"/>
      <c r="B30" s="277">
        <v>37879</v>
      </c>
      <c r="C30" s="130">
        <v>0</v>
      </c>
      <c r="D30" s="130">
        <v>0</v>
      </c>
      <c r="E30" s="130"/>
      <c r="F30" s="130"/>
      <c r="G30" s="65"/>
      <c r="H30" s="142" t="s">
        <v>38</v>
      </c>
    </row>
    <row r="31" spans="1:8" s="5" customFormat="1" ht="13.5" thickBot="1">
      <c r="A31" s="270"/>
      <c r="B31" s="271">
        <v>38058</v>
      </c>
      <c r="C31" s="143">
        <v>0.3</v>
      </c>
      <c r="D31" s="143">
        <v>0</v>
      </c>
      <c r="E31" s="143"/>
      <c r="F31" s="143"/>
      <c r="G31" s="71"/>
      <c r="H31" s="267" t="s">
        <v>45</v>
      </c>
    </row>
    <row r="32" spans="1:8" s="5" customFormat="1" ht="19.5" customHeight="1" thickBot="1">
      <c r="A32" s="340" t="s">
        <v>42</v>
      </c>
      <c r="B32" s="341" t="s">
        <v>56</v>
      </c>
      <c r="C32" s="342"/>
      <c r="D32" s="342"/>
      <c r="E32" s="342"/>
      <c r="F32" s="342"/>
      <c r="G32" s="342"/>
      <c r="H32" s="343"/>
    </row>
    <row r="33" spans="1:5" s="5" customFormat="1" ht="12.75">
      <c r="A33" s="27"/>
      <c r="C33" s="28"/>
      <c r="D33" s="28"/>
      <c r="E33" s="28"/>
    </row>
    <row r="34" spans="1:5" s="5" customFormat="1" ht="12.75">
      <c r="A34" s="27"/>
      <c r="C34" s="28"/>
      <c r="D34" s="28"/>
      <c r="E34" s="28"/>
    </row>
    <row r="35" spans="1:5" s="5" customFormat="1" ht="12.75">
      <c r="A35" s="27"/>
      <c r="C35" s="28"/>
      <c r="D35" s="28"/>
      <c r="E35" s="28"/>
    </row>
    <row r="36" spans="1:5" s="5" customFormat="1" ht="12.75">
      <c r="A36" s="27"/>
      <c r="C36" s="28"/>
      <c r="D36" s="28"/>
      <c r="E36" s="28"/>
    </row>
    <row r="37" spans="1:5" s="5" customFormat="1" ht="12.75">
      <c r="A37" s="27"/>
      <c r="C37" s="28"/>
      <c r="D37" s="28"/>
      <c r="E37" s="28"/>
    </row>
    <row r="38" spans="1:5" s="5" customFormat="1" ht="12.75">
      <c r="A38" s="27"/>
      <c r="C38" s="28"/>
      <c r="D38" s="28"/>
      <c r="E38" s="28"/>
    </row>
    <row r="39" spans="1:5" s="5" customFormat="1" ht="12.75">
      <c r="A39" s="27"/>
      <c r="C39" s="28"/>
      <c r="D39" s="28"/>
      <c r="E39" s="28"/>
    </row>
    <row r="40" spans="1:5" s="5" customFormat="1" ht="12.75">
      <c r="A40" s="27"/>
      <c r="C40" s="28"/>
      <c r="D40" s="28"/>
      <c r="E40" s="28"/>
    </row>
    <row r="41" spans="1:5" s="5" customFormat="1" ht="12.75">
      <c r="A41" s="27"/>
      <c r="C41" s="28"/>
      <c r="D41" s="28"/>
      <c r="E41" s="28"/>
    </row>
    <row r="42" spans="1:5" s="5" customFormat="1" ht="12.75">
      <c r="A42" s="27"/>
      <c r="C42" s="28"/>
      <c r="D42" s="28"/>
      <c r="E42" s="28"/>
    </row>
    <row r="43" spans="1:5" s="5" customFormat="1" ht="12.75">
      <c r="A43" s="27"/>
      <c r="C43" s="28"/>
      <c r="D43" s="28"/>
      <c r="E43" s="28"/>
    </row>
    <row r="44" spans="1:5" s="5" customFormat="1" ht="12.75">
      <c r="A44" s="27"/>
      <c r="C44" s="28"/>
      <c r="D44" s="28"/>
      <c r="E44" s="28"/>
    </row>
    <row r="45" spans="1:5" s="5" customFormat="1" ht="12.75">
      <c r="A45" s="27"/>
      <c r="C45" s="28"/>
      <c r="D45" s="28"/>
      <c r="E45" s="28"/>
    </row>
    <row r="46" spans="1:5" s="5" customFormat="1" ht="12.75">
      <c r="A46" s="27"/>
      <c r="C46" s="28"/>
      <c r="D46" s="28"/>
      <c r="E46" s="28"/>
    </row>
    <row r="47" spans="1:5" s="5" customFormat="1" ht="12.75">
      <c r="A47" s="27"/>
      <c r="C47" s="28"/>
      <c r="D47" s="28"/>
      <c r="E47" s="28"/>
    </row>
    <row r="48" spans="1:5" s="5" customFormat="1" ht="12.75">
      <c r="A48" s="27"/>
      <c r="C48" s="28"/>
      <c r="D48" s="28"/>
      <c r="E48" s="28"/>
    </row>
    <row r="49" spans="1:5" s="5" customFormat="1" ht="12.75">
      <c r="A49" s="27"/>
      <c r="C49" s="28"/>
      <c r="D49" s="28"/>
      <c r="E49" s="28"/>
    </row>
    <row r="50" spans="1:5" s="5" customFormat="1" ht="12.75">
      <c r="A50" s="27"/>
      <c r="C50" s="28"/>
      <c r="D50" s="28"/>
      <c r="E50" s="28"/>
    </row>
    <row r="51" spans="1:5" s="5" customFormat="1" ht="12.75">
      <c r="A51" s="27"/>
      <c r="C51" s="28"/>
      <c r="D51" s="28"/>
      <c r="E51" s="28"/>
    </row>
    <row r="52" spans="1:5" s="5" customFormat="1" ht="12.75">
      <c r="A52" s="27"/>
      <c r="C52" s="28"/>
      <c r="D52" s="28"/>
      <c r="E52" s="28"/>
    </row>
    <row r="53" spans="1:5" s="5" customFormat="1" ht="12.75">
      <c r="A53" s="27"/>
      <c r="C53" s="28"/>
      <c r="D53" s="28"/>
      <c r="E53" s="28"/>
    </row>
    <row r="54" spans="1:5" s="5" customFormat="1" ht="12.75">
      <c r="A54" s="27"/>
      <c r="C54" s="28"/>
      <c r="D54" s="28"/>
      <c r="E54" s="28"/>
    </row>
    <row r="55" spans="1:5" s="5" customFormat="1" ht="12.75">
      <c r="A55" s="27"/>
      <c r="C55" s="28"/>
      <c r="D55" s="28"/>
      <c r="E55" s="28"/>
    </row>
    <row r="56" spans="1:5" s="5" customFormat="1" ht="12.75">
      <c r="A56" s="27"/>
      <c r="C56" s="28"/>
      <c r="D56" s="28"/>
      <c r="E56" s="28"/>
    </row>
    <row r="57" spans="1:5" s="5" customFormat="1" ht="12.75">
      <c r="A57" s="27"/>
      <c r="C57" s="28"/>
      <c r="D57" s="28"/>
      <c r="E57" s="28"/>
    </row>
    <row r="58" spans="1:5" s="5" customFormat="1" ht="12.75">
      <c r="A58" s="27"/>
      <c r="C58" s="28"/>
      <c r="D58" s="28"/>
      <c r="E58" s="28"/>
    </row>
    <row r="59" spans="1:5" s="5" customFormat="1" ht="12.75">
      <c r="A59" s="27"/>
      <c r="C59" s="28"/>
      <c r="D59" s="28"/>
      <c r="E59" s="28"/>
    </row>
    <row r="60" spans="1:5" s="5" customFormat="1" ht="12.75">
      <c r="A60" s="27"/>
      <c r="C60" s="28"/>
      <c r="D60" s="28"/>
      <c r="E60" s="28"/>
    </row>
    <row r="61" spans="1:5" s="5" customFormat="1" ht="12.75">
      <c r="A61" s="27"/>
      <c r="C61" s="28"/>
      <c r="D61" s="28"/>
      <c r="E61" s="28"/>
    </row>
    <row r="62" spans="1:5" s="5" customFormat="1" ht="12.75">
      <c r="A62" s="27"/>
      <c r="C62" s="28"/>
      <c r="D62" s="28"/>
      <c r="E62" s="28"/>
    </row>
  </sheetData>
  <mergeCells count="1">
    <mergeCell ref="B32:H32"/>
  </mergeCells>
  <printOptions/>
  <pageMargins left="0.75" right="0.75" top="0.9" bottom="0.82" header="0.5" footer="0.5"/>
  <pageSetup horizontalDpi="300" verticalDpi="300" orientation="landscape" paperSize="9" r:id="rId2"/>
  <headerFooter alignWithMargins="0">
    <oddHeader>&amp;LDate : &amp;D&amp;RFilename : g:\rivops\state\allocatn\&amp;F</oddHeader>
    <oddFooter>&amp;CPage &amp;P</oddFooter>
  </headerFooter>
  <drawing r:id="rId1"/>
</worksheet>
</file>

<file path=xl/worksheets/sheet7.xml><?xml version="1.0" encoding="utf-8"?>
<worksheet xmlns="http://schemas.openxmlformats.org/spreadsheetml/2006/main" xmlns:r="http://schemas.openxmlformats.org/officeDocument/2006/relationships">
  <dimension ref="A1:H32"/>
  <sheetViews>
    <sheetView showGridLines="0" workbookViewId="0" topLeftCell="A1">
      <pane xSplit="1" ySplit="6" topLeftCell="B7" activePane="bottomRight" state="frozen"/>
      <selection pane="topLeft" activeCell="A1" sqref="A1"/>
      <selection pane="topRight" activeCell="B1" sqref="B1"/>
      <selection pane="bottomLeft" activeCell="A7" sqref="A7"/>
      <selection pane="bottomRight" activeCell="B32" sqref="B32:H32"/>
    </sheetView>
  </sheetViews>
  <sheetFormatPr defaultColWidth="9.140625" defaultRowHeight="12.75"/>
  <cols>
    <col min="1" max="1" width="9.8515625" style="14" customWidth="1"/>
    <col min="2" max="2" width="10.140625" style="17" customWidth="1"/>
    <col min="3" max="3" width="10.00390625" style="24" customWidth="1"/>
    <col min="4" max="4" width="11.00390625" style="24" customWidth="1"/>
    <col min="5" max="5" width="11.421875" style="24" customWidth="1"/>
    <col min="6" max="6" width="11.57421875" style="17" customWidth="1"/>
    <col min="7" max="7" width="12.8515625" style="17" customWidth="1"/>
    <col min="8" max="8" width="54.140625" style="0" customWidth="1"/>
  </cols>
  <sheetData>
    <row r="1" spans="1:8" ht="24" customHeight="1" thickBot="1">
      <c r="A1" s="36" t="s">
        <v>138</v>
      </c>
      <c r="B1" s="2"/>
      <c r="C1" s="22"/>
      <c r="D1" s="22"/>
      <c r="E1" s="22"/>
      <c r="F1" s="2"/>
      <c r="G1" s="2"/>
      <c r="H1" s="3"/>
    </row>
    <row r="2" spans="1:8" ht="15.75" customHeight="1" thickBot="1">
      <c r="A2" s="29" t="s">
        <v>80</v>
      </c>
      <c r="B2" s="33"/>
      <c r="C2" s="34"/>
      <c r="D2" s="34"/>
      <c r="E2" s="34"/>
      <c r="F2" s="33"/>
      <c r="G2" s="33"/>
      <c r="H2" s="38" t="s">
        <v>81</v>
      </c>
    </row>
    <row r="3" spans="1:8" ht="54" customHeight="1" thickBot="1">
      <c r="A3" s="6"/>
      <c r="B3" s="2"/>
      <c r="C3" s="22"/>
      <c r="D3" s="22"/>
      <c r="E3" s="22"/>
      <c r="F3" s="2"/>
      <c r="G3" s="2"/>
      <c r="H3" s="3"/>
    </row>
    <row r="4" spans="1:8" ht="15.75" customHeight="1" thickBot="1">
      <c r="A4" s="29" t="s">
        <v>139</v>
      </c>
      <c r="B4" s="33"/>
      <c r="C4" s="34"/>
      <c r="D4" s="34"/>
      <c r="E4" s="34"/>
      <c r="F4" s="33"/>
      <c r="G4" s="33"/>
      <c r="H4" s="38"/>
    </row>
    <row r="5" spans="1:8" s="5" customFormat="1" ht="24">
      <c r="A5" s="39"/>
      <c r="B5" s="40" t="s">
        <v>83</v>
      </c>
      <c r="C5" s="41" t="s">
        <v>84</v>
      </c>
      <c r="D5" s="41" t="s">
        <v>85</v>
      </c>
      <c r="E5" s="51" t="s">
        <v>213</v>
      </c>
      <c r="F5" s="52"/>
      <c r="G5" s="42" t="s">
        <v>86</v>
      </c>
      <c r="H5" s="43"/>
    </row>
    <row r="6" spans="1:8" s="5" customFormat="1" ht="23.25" customHeight="1" thickBot="1">
      <c r="A6" s="44" t="s">
        <v>87</v>
      </c>
      <c r="B6" s="45" t="s">
        <v>86</v>
      </c>
      <c r="C6" s="46" t="s">
        <v>86</v>
      </c>
      <c r="D6" s="46" t="s">
        <v>88</v>
      </c>
      <c r="E6" s="49" t="s">
        <v>214</v>
      </c>
      <c r="F6" s="50" t="s">
        <v>215</v>
      </c>
      <c r="G6" s="47" t="s">
        <v>89</v>
      </c>
      <c r="H6" s="48" t="s">
        <v>90</v>
      </c>
    </row>
    <row r="7" spans="1:8" ht="15.75" customHeight="1" thickBot="1">
      <c r="A7" s="74" t="s">
        <v>97</v>
      </c>
      <c r="B7" s="75">
        <v>31247</v>
      </c>
      <c r="C7" s="76">
        <v>100</v>
      </c>
      <c r="D7" s="76">
        <v>0</v>
      </c>
      <c r="E7" s="76"/>
      <c r="F7" s="77"/>
      <c r="G7" s="78" t="s">
        <v>92</v>
      </c>
      <c r="H7" s="79"/>
    </row>
    <row r="8" spans="1:8" ht="15.75" customHeight="1" thickBot="1">
      <c r="A8" s="56" t="s">
        <v>98</v>
      </c>
      <c r="B8" s="57">
        <v>31632</v>
      </c>
      <c r="C8" s="58">
        <v>100</v>
      </c>
      <c r="D8" s="58">
        <v>0</v>
      </c>
      <c r="E8" s="58"/>
      <c r="F8" s="59"/>
      <c r="G8" s="60" t="s">
        <v>92</v>
      </c>
      <c r="H8" s="61"/>
    </row>
    <row r="9" spans="1:8" ht="15.75" customHeight="1">
      <c r="A9" s="56" t="s">
        <v>99</v>
      </c>
      <c r="B9" s="57">
        <v>31999</v>
      </c>
      <c r="C9" s="58">
        <v>90</v>
      </c>
      <c r="D9" s="58">
        <v>0</v>
      </c>
      <c r="E9" s="58"/>
      <c r="F9" s="59"/>
      <c r="G9" s="60" t="s">
        <v>92</v>
      </c>
      <c r="H9" s="61"/>
    </row>
    <row r="10" spans="1:8" ht="15.75" customHeight="1" thickBot="1">
      <c r="A10" s="68"/>
      <c r="B10" s="69">
        <v>32031</v>
      </c>
      <c r="C10" s="70">
        <v>100</v>
      </c>
      <c r="D10" s="70">
        <v>0</v>
      </c>
      <c r="E10" s="70"/>
      <c r="F10" s="71"/>
      <c r="G10" s="72" t="s">
        <v>92</v>
      </c>
      <c r="H10" s="73"/>
    </row>
    <row r="11" spans="1:8" ht="15.75" customHeight="1" thickBot="1">
      <c r="A11" s="56" t="s">
        <v>100</v>
      </c>
      <c r="B11" s="57">
        <v>32366</v>
      </c>
      <c r="C11" s="58">
        <v>100</v>
      </c>
      <c r="D11" s="58">
        <v>0</v>
      </c>
      <c r="E11" s="58"/>
      <c r="F11" s="59"/>
      <c r="G11" s="60" t="s">
        <v>92</v>
      </c>
      <c r="H11" s="61"/>
    </row>
    <row r="12" spans="1:8" ht="15.75" customHeight="1">
      <c r="A12" s="56" t="s">
        <v>101</v>
      </c>
      <c r="B12" s="57">
        <v>32702</v>
      </c>
      <c r="C12" s="58">
        <v>100</v>
      </c>
      <c r="D12" s="58">
        <v>0</v>
      </c>
      <c r="E12" s="58"/>
      <c r="F12" s="59"/>
      <c r="G12" s="60" t="s">
        <v>92</v>
      </c>
      <c r="H12" s="61"/>
    </row>
    <row r="13" spans="1:8" ht="15.75" customHeight="1" thickBot="1">
      <c r="A13" s="68"/>
      <c r="B13" s="69">
        <v>32807</v>
      </c>
      <c r="C13" s="70">
        <v>120</v>
      </c>
      <c r="D13" s="70">
        <v>0</v>
      </c>
      <c r="E13" s="70"/>
      <c r="F13" s="71"/>
      <c r="G13" s="72" t="s">
        <v>92</v>
      </c>
      <c r="H13" s="73"/>
    </row>
    <row r="14" spans="1:8" ht="15.75" customHeight="1" thickBot="1">
      <c r="A14" s="74" t="s">
        <v>102</v>
      </c>
      <c r="B14" s="75">
        <v>33073</v>
      </c>
      <c r="C14" s="76">
        <v>120</v>
      </c>
      <c r="D14" s="76">
        <v>0</v>
      </c>
      <c r="E14" s="76"/>
      <c r="F14" s="77"/>
      <c r="G14" s="78" t="s">
        <v>92</v>
      </c>
      <c r="H14" s="79"/>
    </row>
    <row r="15" spans="1:8" ht="15.75" customHeight="1" thickBot="1">
      <c r="A15" s="74" t="s">
        <v>103</v>
      </c>
      <c r="B15" s="75">
        <v>33458</v>
      </c>
      <c r="C15" s="76">
        <v>100</v>
      </c>
      <c r="D15" s="76">
        <v>0</v>
      </c>
      <c r="E15" s="76"/>
      <c r="F15" s="77"/>
      <c r="G15" s="78" t="s">
        <v>104</v>
      </c>
      <c r="H15" s="79"/>
    </row>
    <row r="16" spans="1:8" ht="15.75" customHeight="1">
      <c r="A16" s="56" t="s">
        <v>105</v>
      </c>
      <c r="B16" s="57">
        <v>33855</v>
      </c>
      <c r="C16" s="58">
        <v>100</v>
      </c>
      <c r="D16" s="58">
        <v>0</v>
      </c>
      <c r="E16" s="58"/>
      <c r="F16" s="59"/>
      <c r="G16" s="60" t="s">
        <v>104</v>
      </c>
      <c r="H16" s="61"/>
    </row>
    <row r="17" spans="1:8" ht="15.75" customHeight="1" thickBot="1">
      <c r="A17" s="68"/>
      <c r="B17" s="69">
        <v>33976</v>
      </c>
      <c r="C17" s="70">
        <v>120</v>
      </c>
      <c r="D17" s="70">
        <v>0</v>
      </c>
      <c r="E17" s="70"/>
      <c r="F17" s="71"/>
      <c r="G17" s="72" t="s">
        <v>104</v>
      </c>
      <c r="H17" s="73"/>
    </row>
    <row r="18" spans="1:8" ht="15.75" customHeight="1">
      <c r="A18" s="56" t="s">
        <v>106</v>
      </c>
      <c r="B18" s="57">
        <v>34235</v>
      </c>
      <c r="C18" s="58">
        <v>100</v>
      </c>
      <c r="D18" s="58">
        <v>0</v>
      </c>
      <c r="E18" s="58"/>
      <c r="F18" s="59"/>
      <c r="G18" s="60" t="s">
        <v>104</v>
      </c>
      <c r="H18" s="61"/>
    </row>
    <row r="19" spans="1:8" ht="15.75" customHeight="1" thickBot="1">
      <c r="A19" s="68"/>
      <c r="B19" s="69">
        <v>34348</v>
      </c>
      <c r="C19" s="70">
        <v>120</v>
      </c>
      <c r="D19" s="70">
        <v>0</v>
      </c>
      <c r="E19" s="70"/>
      <c r="F19" s="71"/>
      <c r="G19" s="72" t="s">
        <v>104</v>
      </c>
      <c r="H19" s="73"/>
    </row>
    <row r="20" spans="1:8" ht="15.75" customHeight="1">
      <c r="A20" s="56" t="s">
        <v>108</v>
      </c>
      <c r="B20" s="57">
        <v>34586</v>
      </c>
      <c r="C20" s="58">
        <v>100</v>
      </c>
      <c r="D20" s="58">
        <v>0</v>
      </c>
      <c r="E20" s="58"/>
      <c r="F20" s="59"/>
      <c r="G20" s="60" t="s">
        <v>104</v>
      </c>
      <c r="H20" s="61"/>
    </row>
    <row r="21" spans="1:8" ht="15.75" customHeight="1" thickBot="1">
      <c r="A21" s="68"/>
      <c r="B21" s="69">
        <v>34675</v>
      </c>
      <c r="C21" s="70">
        <v>120</v>
      </c>
      <c r="D21" s="70">
        <v>0</v>
      </c>
      <c r="E21" s="70"/>
      <c r="F21" s="71"/>
      <c r="G21" s="72" t="s">
        <v>104</v>
      </c>
      <c r="H21" s="73"/>
    </row>
    <row r="22" spans="1:8" ht="15.75" customHeight="1" thickBot="1">
      <c r="A22" s="68" t="s">
        <v>109</v>
      </c>
      <c r="B22" s="69">
        <v>34920</v>
      </c>
      <c r="C22" s="70">
        <v>100</v>
      </c>
      <c r="D22" s="70">
        <v>0</v>
      </c>
      <c r="E22" s="70"/>
      <c r="F22" s="71"/>
      <c r="G22" s="72" t="s">
        <v>104</v>
      </c>
      <c r="H22" s="73"/>
    </row>
    <row r="23" spans="1:8" s="5" customFormat="1" ht="13.5" thickBot="1">
      <c r="A23" s="127" t="s">
        <v>110</v>
      </c>
      <c r="B23" s="19">
        <v>35578</v>
      </c>
      <c r="C23" s="26">
        <v>120</v>
      </c>
      <c r="D23" s="26">
        <v>0</v>
      </c>
      <c r="E23" s="26"/>
      <c r="F23" s="21"/>
      <c r="G23" s="21" t="s">
        <v>104</v>
      </c>
      <c r="H23" s="128"/>
    </row>
    <row r="24" spans="1:8" s="5" customFormat="1" ht="13.5" thickBot="1">
      <c r="A24" s="10" t="s">
        <v>112</v>
      </c>
      <c r="B24" s="11">
        <v>35905</v>
      </c>
      <c r="C24" s="25">
        <v>120</v>
      </c>
      <c r="D24" s="25">
        <v>0</v>
      </c>
      <c r="E24" s="25"/>
      <c r="F24" s="13"/>
      <c r="G24" s="13" t="s">
        <v>104</v>
      </c>
      <c r="H24" s="79"/>
    </row>
    <row r="25" spans="1:8" ht="26.25" thickBot="1">
      <c r="A25" s="127" t="s">
        <v>113</v>
      </c>
      <c r="B25" s="21"/>
      <c r="C25" s="26">
        <v>100</v>
      </c>
      <c r="D25" s="26"/>
      <c r="E25" s="26"/>
      <c r="F25" s="21"/>
      <c r="G25" s="21"/>
      <c r="H25" s="80" t="s">
        <v>244</v>
      </c>
    </row>
    <row r="26" spans="1:8" ht="26.25" thickBot="1">
      <c r="A26" s="180" t="s">
        <v>183</v>
      </c>
      <c r="B26" s="77"/>
      <c r="C26" s="76">
        <v>100</v>
      </c>
      <c r="D26" s="26"/>
      <c r="E26" s="26"/>
      <c r="F26" s="21"/>
      <c r="G26" s="21"/>
      <c r="H26" s="80" t="s">
        <v>244</v>
      </c>
    </row>
    <row r="27" spans="1:8" ht="12.75">
      <c r="A27" s="147" t="s">
        <v>234</v>
      </c>
      <c r="B27" s="7">
        <v>36839</v>
      </c>
      <c r="C27" s="159">
        <v>1</v>
      </c>
      <c r="D27" s="159"/>
      <c r="E27" s="159"/>
      <c r="F27" s="159"/>
      <c r="G27" s="9"/>
      <c r="H27" s="120"/>
    </row>
    <row r="28" spans="1:8" ht="13.5" thickBot="1">
      <c r="A28" s="148"/>
      <c r="B28" s="11"/>
      <c r="C28" s="146"/>
      <c r="D28" s="146"/>
      <c r="E28" s="146"/>
      <c r="F28" s="146"/>
      <c r="G28" s="13"/>
      <c r="H28" s="121"/>
    </row>
    <row r="29" spans="1:8" ht="13.5" thickBot="1">
      <c r="A29" s="127" t="s">
        <v>10</v>
      </c>
      <c r="B29" s="21"/>
      <c r="C29" s="179"/>
      <c r="D29" s="179"/>
      <c r="E29" s="179"/>
      <c r="F29" s="179"/>
      <c r="G29" s="21"/>
      <c r="H29" s="128"/>
    </row>
    <row r="30" spans="1:8" ht="12.75">
      <c r="A30" s="147" t="s">
        <v>13</v>
      </c>
      <c r="B30" s="7">
        <v>37806</v>
      </c>
      <c r="C30" s="159">
        <v>1</v>
      </c>
      <c r="D30" s="159"/>
      <c r="E30" s="159"/>
      <c r="F30" s="159"/>
      <c r="G30" s="9" t="s">
        <v>216</v>
      </c>
      <c r="H30" s="120"/>
    </row>
    <row r="31" spans="1:8" ht="13.5" thickBot="1">
      <c r="A31" s="148"/>
      <c r="B31" s="13"/>
      <c r="C31" s="146"/>
      <c r="D31" s="146"/>
      <c r="E31" s="146"/>
      <c r="F31" s="146"/>
      <c r="G31" s="13"/>
      <c r="H31" s="121"/>
    </row>
    <row r="32" spans="1:8" ht="21.75" customHeight="1" thickBot="1">
      <c r="A32" s="127" t="s">
        <v>42</v>
      </c>
      <c r="B32" s="344" t="s">
        <v>57</v>
      </c>
      <c r="C32" s="339"/>
      <c r="D32" s="339"/>
      <c r="E32" s="339"/>
      <c r="F32" s="339"/>
      <c r="G32" s="339"/>
      <c r="H32" s="337"/>
    </row>
  </sheetData>
  <mergeCells count="1">
    <mergeCell ref="B32:H32"/>
  </mergeCells>
  <printOptions/>
  <pageMargins left="0.75" right="0.75" top="0.9" bottom="0.82" header="0.5" footer="0.5"/>
  <pageSetup horizontalDpi="300" verticalDpi="300" orientation="landscape" paperSize="9" r:id="rId2"/>
  <headerFooter alignWithMargins="0">
    <oddHeader>&amp;LDate : &amp;D&amp;RFilename : g:\rivops\state\allocatn\&amp;F</oddHeader>
    <oddFooter>&amp;CPage &amp;P</oddFooter>
  </headerFooter>
  <drawing r:id="rId1"/>
</worksheet>
</file>

<file path=xl/worksheets/sheet8.xml><?xml version="1.0" encoding="utf-8"?>
<worksheet xmlns="http://schemas.openxmlformats.org/spreadsheetml/2006/main" xmlns:r="http://schemas.openxmlformats.org/officeDocument/2006/relationships">
  <dimension ref="A1:G248"/>
  <sheetViews>
    <sheetView showGridLines="0" workbookViewId="0" topLeftCell="A4">
      <pane xSplit="1" ySplit="2" topLeftCell="B6" activePane="bottomRight" state="frozen"/>
      <selection pane="topLeft" activeCell="A4" sqref="A4"/>
      <selection pane="topRight" activeCell="B4" sqref="B4"/>
      <selection pane="bottomLeft" activeCell="A6" sqref="A6"/>
      <selection pane="bottomRight" activeCell="B69" sqref="B69:G69"/>
    </sheetView>
  </sheetViews>
  <sheetFormatPr defaultColWidth="9.140625" defaultRowHeight="12.75"/>
  <cols>
    <col min="1" max="1" width="9.140625" style="14" customWidth="1"/>
    <col min="2" max="2" width="10.140625" style="17" customWidth="1"/>
    <col min="3" max="3" width="10.00390625" style="24" customWidth="1"/>
    <col min="4" max="4" width="11.00390625" style="228" customWidth="1"/>
    <col min="5" max="5" width="11.421875" style="24" customWidth="1"/>
    <col min="6" max="6" width="11.28125" style="228" customWidth="1"/>
    <col min="7" max="7" width="69.7109375" style="0" customWidth="1"/>
    <col min="17" max="17" width="10.57421875" style="0" bestFit="1" customWidth="1"/>
  </cols>
  <sheetData>
    <row r="1" spans="1:7" ht="24" customHeight="1" thickBot="1">
      <c r="A1" s="36" t="s">
        <v>140</v>
      </c>
      <c r="B1" s="2"/>
      <c r="C1" s="22"/>
      <c r="D1" s="183"/>
      <c r="E1" s="22"/>
      <c r="F1" s="183"/>
      <c r="G1" s="3"/>
    </row>
    <row r="2" spans="1:7" ht="15.75" customHeight="1" thickBot="1">
      <c r="A2" s="29" t="s">
        <v>80</v>
      </c>
      <c r="B2" s="33"/>
      <c r="C2" s="34"/>
      <c r="D2" s="184"/>
      <c r="E2" s="34"/>
      <c r="F2" s="184"/>
      <c r="G2" s="196" t="s">
        <v>27</v>
      </c>
    </row>
    <row r="3" spans="1:7" ht="115.5" customHeight="1" thickBot="1">
      <c r="A3" s="6"/>
      <c r="B3" s="2"/>
      <c r="C3" s="22"/>
      <c r="D3" s="183"/>
      <c r="E3" s="22"/>
      <c r="F3" s="183"/>
      <c r="G3" s="3"/>
    </row>
    <row r="4" spans="1:7" ht="15.75" customHeight="1" thickBot="1">
      <c r="A4" s="29" t="s">
        <v>26</v>
      </c>
      <c r="B4" s="33"/>
      <c r="C4" s="34"/>
      <c r="D4" s="184"/>
      <c r="E4" s="34"/>
      <c r="F4" s="184"/>
      <c r="G4" s="38"/>
    </row>
    <row r="5" spans="1:7" ht="33.75" customHeight="1" thickBot="1">
      <c r="A5" s="164" t="s">
        <v>87</v>
      </c>
      <c r="B5" s="165" t="s">
        <v>239</v>
      </c>
      <c r="C5" s="163" t="s">
        <v>242</v>
      </c>
      <c r="D5" s="187" t="s">
        <v>241</v>
      </c>
      <c r="E5" s="163" t="s">
        <v>8</v>
      </c>
      <c r="F5" s="187" t="s">
        <v>240</v>
      </c>
      <c r="G5" s="166"/>
    </row>
    <row r="6" spans="1:7" ht="67.5" customHeight="1">
      <c r="A6" s="62" t="s">
        <v>113</v>
      </c>
      <c r="B6" s="182" t="s">
        <v>245</v>
      </c>
      <c r="C6" s="235">
        <v>150</v>
      </c>
      <c r="D6" s="236" t="s">
        <v>246</v>
      </c>
      <c r="E6" s="64"/>
      <c r="F6" s="237">
        <f>1.5</f>
        <v>1.5</v>
      </c>
      <c r="G6" s="126" t="s">
        <v>0</v>
      </c>
    </row>
    <row r="7" spans="1:7" ht="14.25" customHeight="1">
      <c r="A7" s="62"/>
      <c r="B7" s="182">
        <v>36306</v>
      </c>
      <c r="C7" s="235">
        <v>150</v>
      </c>
      <c r="D7" s="238">
        <f>196.4/518</f>
        <v>0.37915057915057915</v>
      </c>
      <c r="E7" s="222">
        <f>90.6/518</f>
        <v>0.17490347490347488</v>
      </c>
      <c r="F7" s="237">
        <f aca="true" t="shared" si="0" ref="F7:F13">F6-D7+E7</f>
        <v>1.2957528957528957</v>
      </c>
      <c r="G7" s="142"/>
    </row>
    <row r="8" spans="1:7" ht="14.25" customHeight="1">
      <c r="A8" s="62"/>
      <c r="B8" s="182">
        <v>36341</v>
      </c>
      <c r="C8" s="235">
        <v>150</v>
      </c>
      <c r="D8" s="238">
        <f>0.6/518</f>
        <v>0.0011583011583011582</v>
      </c>
      <c r="E8" s="222">
        <f>0/518</f>
        <v>0</v>
      </c>
      <c r="F8" s="237">
        <f t="shared" si="0"/>
        <v>1.2945945945945945</v>
      </c>
      <c r="G8" s="142"/>
    </row>
    <row r="9" spans="1:7" ht="14.25" customHeight="1">
      <c r="A9" s="62"/>
      <c r="B9" s="182">
        <v>36372</v>
      </c>
      <c r="C9" s="235">
        <v>150</v>
      </c>
      <c r="D9" s="238">
        <f>0/518</f>
        <v>0</v>
      </c>
      <c r="E9" s="225">
        <f>0.6/518</f>
        <v>0.0011583011583011582</v>
      </c>
      <c r="F9" s="237">
        <f t="shared" si="0"/>
        <v>1.2957528957528957</v>
      </c>
      <c r="G9" s="142"/>
    </row>
    <row r="10" spans="1:7" ht="14.25" customHeight="1">
      <c r="A10" s="62"/>
      <c r="B10" s="182">
        <v>36403</v>
      </c>
      <c r="C10" s="235">
        <v>150</v>
      </c>
      <c r="D10" s="238">
        <f>0/518</f>
        <v>0</v>
      </c>
      <c r="E10" s="222">
        <f>0/518</f>
        <v>0</v>
      </c>
      <c r="F10" s="237">
        <f t="shared" si="0"/>
        <v>1.2957528957528957</v>
      </c>
      <c r="G10" s="142"/>
    </row>
    <row r="11" spans="1:7" ht="14.25" customHeight="1" thickBot="1">
      <c r="A11" s="62"/>
      <c r="B11" s="182">
        <v>36433</v>
      </c>
      <c r="C11" s="235">
        <v>150</v>
      </c>
      <c r="D11" s="238">
        <f>45.1/518</f>
        <v>0.08706563706563707</v>
      </c>
      <c r="E11" s="197">
        <f>3/518</f>
        <v>0.005791505791505791</v>
      </c>
      <c r="F11" s="107">
        <f t="shared" si="0"/>
        <v>1.2144787644787645</v>
      </c>
      <c r="G11" s="142"/>
    </row>
    <row r="12" spans="1:7" ht="12.75">
      <c r="A12" s="147" t="s">
        <v>183</v>
      </c>
      <c r="B12" s="7">
        <v>36464</v>
      </c>
      <c r="C12" s="241">
        <v>1.5</v>
      </c>
      <c r="D12" s="227">
        <f>12.9/518</f>
        <v>0.024903474903474904</v>
      </c>
      <c r="E12" s="227">
        <f>103.2/518</f>
        <v>0.19922779922779923</v>
      </c>
      <c r="F12" s="242">
        <f t="shared" si="0"/>
        <v>1.388803088803089</v>
      </c>
      <c r="G12" s="120"/>
    </row>
    <row r="13" spans="1:7" ht="27.75" customHeight="1">
      <c r="A13" s="158"/>
      <c r="B13" s="15">
        <v>36494</v>
      </c>
      <c r="C13" s="243">
        <v>1.5</v>
      </c>
      <c r="D13" s="230">
        <f>9.9/518</f>
        <v>0.019111969111969114</v>
      </c>
      <c r="E13" s="230">
        <f>67.4/518</f>
        <v>0.13011583011583014</v>
      </c>
      <c r="F13" s="243">
        <f t="shared" si="0"/>
        <v>1.4998069498069497</v>
      </c>
      <c r="G13" s="195" t="s">
        <v>24</v>
      </c>
    </row>
    <row r="14" spans="1:7" ht="12.75">
      <c r="A14" s="158"/>
      <c r="B14" s="15">
        <v>36525</v>
      </c>
      <c r="C14" s="243">
        <v>1.5</v>
      </c>
      <c r="D14" s="230">
        <f>44.6/510</f>
        <v>0.08745098039215686</v>
      </c>
      <c r="E14" s="230">
        <f>44.6/510</f>
        <v>0.08745098039215686</v>
      </c>
      <c r="F14" s="243">
        <v>1.5</v>
      </c>
      <c r="G14" s="151"/>
    </row>
    <row r="15" spans="1:7" ht="12.75">
      <c r="A15" s="158"/>
      <c r="B15" s="15">
        <v>36556</v>
      </c>
      <c r="C15" s="243">
        <v>1.5</v>
      </c>
      <c r="D15" s="230">
        <f>127.8/510</f>
        <v>0.25058823529411767</v>
      </c>
      <c r="E15" s="230">
        <f>15.8/510</f>
        <v>0.030980392156862747</v>
      </c>
      <c r="F15" s="243">
        <f aca="true" t="shared" si="1" ref="F15:F47">F14-D15+E15</f>
        <v>1.2803921568627452</v>
      </c>
      <c r="G15" s="151"/>
    </row>
    <row r="16" spans="1:7" ht="12.75">
      <c r="A16" s="158"/>
      <c r="B16" s="15">
        <v>36585</v>
      </c>
      <c r="C16" s="243">
        <v>1.5</v>
      </c>
      <c r="D16" s="230">
        <f>77.4/510</f>
        <v>0.15176470588235294</v>
      </c>
      <c r="E16" s="230">
        <f>6.8/510</f>
        <v>0.013333333333333332</v>
      </c>
      <c r="F16" s="243">
        <f t="shared" si="1"/>
        <v>1.1419607843137256</v>
      </c>
      <c r="G16" s="151"/>
    </row>
    <row r="17" spans="1:7" ht="12.75">
      <c r="A17" s="158"/>
      <c r="B17" s="15">
        <v>36616</v>
      </c>
      <c r="C17" s="243">
        <v>1.5</v>
      </c>
      <c r="D17" s="230">
        <f>5.2/510</f>
        <v>0.01019607843137255</v>
      </c>
      <c r="E17" s="230">
        <f>6.2/510</f>
        <v>0.01215686274509804</v>
      </c>
      <c r="F17" s="243">
        <f t="shared" si="1"/>
        <v>1.143921568627451</v>
      </c>
      <c r="G17" s="151"/>
    </row>
    <row r="18" spans="1:7" ht="12.75">
      <c r="A18" s="158"/>
      <c r="B18" s="15">
        <v>36646</v>
      </c>
      <c r="C18" s="243">
        <v>1.5</v>
      </c>
      <c r="D18" s="230">
        <f>0.3/510</f>
        <v>0.000588235294117647</v>
      </c>
      <c r="E18" s="230">
        <f>0/510</f>
        <v>0</v>
      </c>
      <c r="F18" s="243">
        <f t="shared" si="1"/>
        <v>1.1433333333333335</v>
      </c>
      <c r="G18" s="151"/>
    </row>
    <row r="19" spans="1:7" ht="12.75">
      <c r="A19" s="158"/>
      <c r="B19" s="15">
        <v>36677</v>
      </c>
      <c r="C19" s="243">
        <v>1.5</v>
      </c>
      <c r="D19" s="230">
        <f>0.4/510</f>
        <v>0.0007843137254901962</v>
      </c>
      <c r="E19" s="230">
        <f>0/510</f>
        <v>0</v>
      </c>
      <c r="F19" s="243">
        <f t="shared" si="1"/>
        <v>1.1425490196078434</v>
      </c>
      <c r="G19" s="151"/>
    </row>
    <row r="20" spans="1:7" ht="12.75">
      <c r="A20" s="158"/>
      <c r="B20" s="15">
        <v>36707</v>
      </c>
      <c r="C20" s="243">
        <v>1.5</v>
      </c>
      <c r="D20" s="230">
        <f>0.1/510</f>
        <v>0.00019607843137254904</v>
      </c>
      <c r="E20" s="230">
        <f>0/510</f>
        <v>0</v>
      </c>
      <c r="F20" s="243">
        <f t="shared" si="1"/>
        <v>1.1423529411764708</v>
      </c>
      <c r="G20" s="151"/>
    </row>
    <row r="21" spans="1:7" ht="12.75">
      <c r="A21" s="158"/>
      <c r="B21" s="15">
        <v>36738</v>
      </c>
      <c r="C21" s="243">
        <v>1.5</v>
      </c>
      <c r="D21" s="230">
        <f>0/510</f>
        <v>0</v>
      </c>
      <c r="E21" s="230">
        <f>2.2/510</f>
        <v>0.004313725490196079</v>
      </c>
      <c r="F21" s="243">
        <f t="shared" si="1"/>
        <v>1.146666666666667</v>
      </c>
      <c r="G21" s="151"/>
    </row>
    <row r="22" spans="1:7" ht="12.75">
      <c r="A22" s="158"/>
      <c r="B22" s="15">
        <v>36769</v>
      </c>
      <c r="C22" s="243">
        <v>1.5</v>
      </c>
      <c r="D22" s="230">
        <f>18.8/510</f>
        <v>0.03686274509803922</v>
      </c>
      <c r="E22" s="230">
        <f>3.3/510</f>
        <v>0.006470588235294118</v>
      </c>
      <c r="F22" s="243">
        <f t="shared" si="1"/>
        <v>1.116274509803922</v>
      </c>
      <c r="G22" s="151"/>
    </row>
    <row r="23" spans="1:7" ht="13.5" thickBot="1">
      <c r="A23" s="148"/>
      <c r="B23" s="11">
        <v>36799</v>
      </c>
      <c r="C23" s="244">
        <v>1.5</v>
      </c>
      <c r="D23" s="232">
        <f>49.2/510</f>
        <v>0.09647058823529413</v>
      </c>
      <c r="E23" s="232">
        <f>4.9/510</f>
        <v>0.009607843137254903</v>
      </c>
      <c r="F23" s="245">
        <f t="shared" si="1"/>
        <v>1.0294117647058827</v>
      </c>
      <c r="G23" s="121"/>
    </row>
    <row r="24" spans="1:7" ht="12.75">
      <c r="A24" s="147" t="s">
        <v>234</v>
      </c>
      <c r="B24" s="7">
        <v>36830</v>
      </c>
      <c r="C24" s="241">
        <v>1.5</v>
      </c>
      <c r="D24" s="227">
        <f>40.7/510</f>
        <v>0.07980392156862745</v>
      </c>
      <c r="E24" s="227">
        <f>4.13/510</f>
        <v>0.008098039215686274</v>
      </c>
      <c r="F24" s="242">
        <f t="shared" si="1"/>
        <v>0.9577058823529415</v>
      </c>
      <c r="G24" s="120"/>
    </row>
    <row r="25" spans="1:7" ht="12.75">
      <c r="A25" s="158"/>
      <c r="B25" s="15">
        <v>36860</v>
      </c>
      <c r="C25" s="243">
        <v>1.5</v>
      </c>
      <c r="D25" s="230">
        <f>16.76/510</f>
        <v>0.03286274509803922</v>
      </c>
      <c r="E25" s="230">
        <f>113.75/510</f>
        <v>0.22303921568627452</v>
      </c>
      <c r="F25" s="243">
        <f t="shared" si="1"/>
        <v>1.1478823529411768</v>
      </c>
      <c r="G25" s="151"/>
    </row>
    <row r="26" spans="1:7" ht="12.75">
      <c r="A26" s="158"/>
      <c r="B26" s="15">
        <v>36891</v>
      </c>
      <c r="C26" s="243">
        <v>1.5</v>
      </c>
      <c r="D26" s="230">
        <f>22.36/510</f>
        <v>0.04384313725490196</v>
      </c>
      <c r="E26" s="230">
        <f>25.85/510</f>
        <v>0.050686274509803925</v>
      </c>
      <c r="F26" s="243">
        <f t="shared" si="1"/>
        <v>1.1547254901960788</v>
      </c>
      <c r="G26" s="151"/>
    </row>
    <row r="27" spans="1:7" ht="12.75">
      <c r="A27" s="158"/>
      <c r="B27" s="15">
        <v>36922</v>
      </c>
      <c r="C27" s="243">
        <v>1.5</v>
      </c>
      <c r="D27" s="230">
        <f>139.12/510</f>
        <v>0.2727843137254902</v>
      </c>
      <c r="E27" s="230">
        <v>0</v>
      </c>
      <c r="F27" s="243">
        <f t="shared" si="1"/>
        <v>0.8819411764705887</v>
      </c>
      <c r="G27" s="151"/>
    </row>
    <row r="28" spans="1:7" ht="12.75">
      <c r="A28" s="158"/>
      <c r="B28" s="15">
        <v>36950</v>
      </c>
      <c r="C28" s="243">
        <v>1.5</v>
      </c>
      <c r="D28" s="230">
        <f>37.53/510</f>
        <v>0.07358823529411765</v>
      </c>
      <c r="E28" s="230">
        <f>43.24/510</f>
        <v>0.0847843137254902</v>
      </c>
      <c r="F28" s="243">
        <f t="shared" si="1"/>
        <v>0.8931372549019613</v>
      </c>
      <c r="G28" s="151"/>
    </row>
    <row r="29" spans="1:7" ht="12.75">
      <c r="A29" s="158"/>
      <c r="B29" s="15">
        <v>36981</v>
      </c>
      <c r="C29" s="243">
        <v>1.5</v>
      </c>
      <c r="D29" s="230">
        <f>2.28/510</f>
        <v>0.004470588235294118</v>
      </c>
      <c r="E29" s="230">
        <f>30.31/510</f>
        <v>0.059431372549019604</v>
      </c>
      <c r="F29" s="243">
        <f t="shared" si="1"/>
        <v>0.9480980392156868</v>
      </c>
      <c r="G29" s="151"/>
    </row>
    <row r="30" spans="1:7" ht="12.75">
      <c r="A30" s="158"/>
      <c r="B30" s="15">
        <v>37011</v>
      </c>
      <c r="C30" s="243">
        <v>1.5</v>
      </c>
      <c r="D30" s="230">
        <v>0</v>
      </c>
      <c r="E30" s="230">
        <v>0</v>
      </c>
      <c r="F30" s="243">
        <f t="shared" si="1"/>
        <v>0.9480980392156868</v>
      </c>
      <c r="G30" s="151"/>
    </row>
    <row r="31" spans="1:7" ht="12.75">
      <c r="A31" s="158"/>
      <c r="B31" s="15">
        <v>37042</v>
      </c>
      <c r="C31" s="243">
        <v>1.5</v>
      </c>
      <c r="D31" s="230">
        <v>0</v>
      </c>
      <c r="E31" s="230">
        <v>0</v>
      </c>
      <c r="F31" s="243">
        <f t="shared" si="1"/>
        <v>0.9480980392156868</v>
      </c>
      <c r="G31" s="151"/>
    </row>
    <row r="32" spans="1:7" ht="12.75">
      <c r="A32" s="158"/>
      <c r="B32" s="15">
        <v>37072</v>
      </c>
      <c r="C32" s="243">
        <v>1.5</v>
      </c>
      <c r="D32" s="230">
        <v>0</v>
      </c>
      <c r="E32" s="230">
        <v>0</v>
      </c>
      <c r="F32" s="243">
        <f t="shared" si="1"/>
        <v>0.9480980392156868</v>
      </c>
      <c r="G32" s="151"/>
    </row>
    <row r="33" spans="1:7" ht="12.75">
      <c r="A33" s="158"/>
      <c r="B33" s="15">
        <v>37103</v>
      </c>
      <c r="C33" s="243">
        <v>1.5</v>
      </c>
      <c r="D33" s="230">
        <v>0</v>
      </c>
      <c r="E33" s="230">
        <v>0</v>
      </c>
      <c r="F33" s="243">
        <f t="shared" si="1"/>
        <v>0.9480980392156868</v>
      </c>
      <c r="G33" s="151"/>
    </row>
    <row r="34" spans="1:7" ht="12.75">
      <c r="A34" s="158"/>
      <c r="B34" s="15">
        <v>37134</v>
      </c>
      <c r="C34" s="243">
        <v>1.5</v>
      </c>
      <c r="D34" s="230">
        <f>3.45/510</f>
        <v>0.006764705882352942</v>
      </c>
      <c r="E34" s="230">
        <f>10.68/510</f>
        <v>0.020941176470588234</v>
      </c>
      <c r="F34" s="243">
        <f t="shared" si="1"/>
        <v>0.9622745098039222</v>
      </c>
      <c r="G34" s="151"/>
    </row>
    <row r="35" spans="1:7" ht="13.5" thickBot="1">
      <c r="A35" s="148"/>
      <c r="B35" s="11">
        <v>37164</v>
      </c>
      <c r="C35" s="244">
        <v>1.5</v>
      </c>
      <c r="D35" s="232">
        <f>9.95/510</f>
        <v>0.019509803921568626</v>
      </c>
      <c r="E35" s="232">
        <v>0</v>
      </c>
      <c r="F35" s="245">
        <f t="shared" si="1"/>
        <v>0.9427647058823535</v>
      </c>
      <c r="G35" s="121"/>
    </row>
    <row r="36" spans="1:7" ht="12.75">
      <c r="A36" s="147" t="s">
        <v>3</v>
      </c>
      <c r="B36" s="7">
        <v>37195</v>
      </c>
      <c r="C36" s="241">
        <v>1.5</v>
      </c>
      <c r="D36" s="227">
        <f>6.26/510</f>
        <v>0.012274509803921568</v>
      </c>
      <c r="E36" s="227">
        <f>15.75/510</f>
        <v>0.030882352941176472</v>
      </c>
      <c r="F36" s="242">
        <f t="shared" si="1"/>
        <v>0.9613725490196084</v>
      </c>
      <c r="G36" s="120"/>
    </row>
    <row r="37" spans="1:7" ht="12.75">
      <c r="A37" s="158"/>
      <c r="B37" s="15">
        <v>37225</v>
      </c>
      <c r="C37" s="243">
        <v>1.5</v>
      </c>
      <c r="D37" s="230">
        <f>23.17/510</f>
        <v>0.04543137254901961</v>
      </c>
      <c r="E37" s="230">
        <f>87.7/510</f>
        <v>0.1719607843137255</v>
      </c>
      <c r="F37" s="243">
        <f t="shared" si="1"/>
        <v>1.0879019607843143</v>
      </c>
      <c r="G37" s="151"/>
    </row>
    <row r="38" spans="1:7" ht="12.75">
      <c r="A38" s="158"/>
      <c r="B38" s="15">
        <v>37256</v>
      </c>
      <c r="C38" s="243">
        <v>1.5</v>
      </c>
      <c r="D38" s="230">
        <f>37.19/510</f>
        <v>0.07292156862745097</v>
      </c>
      <c r="E38" s="230">
        <f>13.69/510</f>
        <v>0.02684313725490196</v>
      </c>
      <c r="F38" s="243">
        <f t="shared" si="1"/>
        <v>1.0418235294117655</v>
      </c>
      <c r="G38" s="151"/>
    </row>
    <row r="39" spans="1:7" ht="12.75">
      <c r="A39" s="158"/>
      <c r="B39" s="15">
        <v>37287</v>
      </c>
      <c r="C39" s="243">
        <v>1.5</v>
      </c>
      <c r="D39" s="230">
        <f>168.3/510</f>
        <v>0.33</v>
      </c>
      <c r="E39" s="230">
        <f>18.64/510</f>
        <v>0.03654901960784314</v>
      </c>
      <c r="F39" s="243">
        <f t="shared" si="1"/>
        <v>0.7483725490196086</v>
      </c>
      <c r="G39" s="151"/>
    </row>
    <row r="40" spans="1:7" ht="12.75">
      <c r="A40" s="158"/>
      <c r="B40" s="15">
        <v>37315</v>
      </c>
      <c r="C40" s="243">
        <v>1.5</v>
      </c>
      <c r="D40" s="230">
        <f>88.98/510</f>
        <v>0.17447058823529413</v>
      </c>
      <c r="E40" s="230">
        <f aca="true" t="shared" si="2" ref="E40:E57">0/510</f>
        <v>0</v>
      </c>
      <c r="F40" s="243">
        <f t="shared" si="1"/>
        <v>0.5739019607843144</v>
      </c>
      <c r="G40" s="151"/>
    </row>
    <row r="41" spans="1:7" ht="12.75">
      <c r="A41" s="158"/>
      <c r="B41" s="15">
        <v>37346</v>
      </c>
      <c r="C41" s="243">
        <v>1.5</v>
      </c>
      <c r="D41" s="230">
        <f>8.67/510</f>
        <v>0.017</v>
      </c>
      <c r="E41" s="230">
        <f t="shared" si="2"/>
        <v>0</v>
      </c>
      <c r="F41" s="243">
        <f t="shared" si="1"/>
        <v>0.5569019607843144</v>
      </c>
      <c r="G41" s="151"/>
    </row>
    <row r="42" spans="1:7" ht="12.75">
      <c r="A42" s="158"/>
      <c r="B42" s="15">
        <v>37376</v>
      </c>
      <c r="C42" s="243">
        <v>1.5</v>
      </c>
      <c r="D42" s="230">
        <f>0.11/510</f>
        <v>0.00021568627450980392</v>
      </c>
      <c r="E42" s="230">
        <f t="shared" si="2"/>
        <v>0</v>
      </c>
      <c r="F42" s="243">
        <f t="shared" si="1"/>
        <v>0.5566862745098046</v>
      </c>
      <c r="G42" s="151"/>
    </row>
    <row r="43" spans="1:7" ht="12.75">
      <c r="A43" s="158"/>
      <c r="B43" s="15">
        <v>37407</v>
      </c>
      <c r="C43" s="243">
        <v>1.5</v>
      </c>
      <c r="D43" s="230">
        <f>1.67/510</f>
        <v>0.0032745098039215683</v>
      </c>
      <c r="E43" s="230">
        <f t="shared" si="2"/>
        <v>0</v>
      </c>
      <c r="F43" s="243">
        <f t="shared" si="1"/>
        <v>0.553411764705883</v>
      </c>
      <c r="G43" s="151"/>
    </row>
    <row r="44" spans="1:7" ht="12.75">
      <c r="A44" s="158"/>
      <c r="B44" s="15">
        <v>37437</v>
      </c>
      <c r="C44" s="243">
        <v>1.5</v>
      </c>
      <c r="D44" s="230">
        <f>0.65/510</f>
        <v>0.0012745098039215687</v>
      </c>
      <c r="E44" s="230">
        <f t="shared" si="2"/>
        <v>0</v>
      </c>
      <c r="F44" s="243">
        <f t="shared" si="1"/>
        <v>0.5521372549019615</v>
      </c>
      <c r="G44" s="151"/>
    </row>
    <row r="45" spans="1:7" ht="12.75">
      <c r="A45" s="158"/>
      <c r="B45" s="15">
        <v>37468</v>
      </c>
      <c r="C45" s="243">
        <v>1.5</v>
      </c>
      <c r="D45" s="230">
        <f>1.79/510</f>
        <v>0.0035098039215686275</v>
      </c>
      <c r="E45" s="230">
        <f t="shared" si="2"/>
        <v>0</v>
      </c>
      <c r="F45" s="243">
        <f t="shared" si="1"/>
        <v>0.5486274509803929</v>
      </c>
      <c r="G45" s="151"/>
    </row>
    <row r="46" spans="1:7" ht="12.75">
      <c r="A46" s="158"/>
      <c r="B46" s="15">
        <v>37499</v>
      </c>
      <c r="C46" s="243">
        <v>1.5</v>
      </c>
      <c r="D46" s="230">
        <f>10.59/510</f>
        <v>0.020764705882352942</v>
      </c>
      <c r="E46" s="230">
        <f t="shared" si="2"/>
        <v>0</v>
      </c>
      <c r="F46" s="243">
        <f t="shared" si="1"/>
        <v>0.52786274509804</v>
      </c>
      <c r="G46" s="151"/>
    </row>
    <row r="47" spans="1:7" ht="13.5" thickBot="1">
      <c r="A47" s="148"/>
      <c r="B47" s="11">
        <v>37529</v>
      </c>
      <c r="C47" s="244">
        <v>1.5</v>
      </c>
      <c r="D47" s="232">
        <f>38.92/510</f>
        <v>0.07631372549019608</v>
      </c>
      <c r="E47" s="232">
        <f t="shared" si="2"/>
        <v>0</v>
      </c>
      <c r="F47" s="245">
        <f t="shared" si="1"/>
        <v>0.4515490196078439</v>
      </c>
      <c r="G47" s="121"/>
    </row>
    <row r="48" spans="1:7" ht="25.5">
      <c r="A48" s="181" t="s">
        <v>10</v>
      </c>
      <c r="B48" s="57">
        <v>37560</v>
      </c>
      <c r="C48" s="242">
        <v>1.5</v>
      </c>
      <c r="D48" s="224">
        <f>14.18/510</f>
        <v>0.02780392156862745</v>
      </c>
      <c r="E48" s="224">
        <f t="shared" si="2"/>
        <v>0</v>
      </c>
      <c r="F48" s="246">
        <v>0.3808431</v>
      </c>
      <c r="G48" s="220" t="s">
        <v>19</v>
      </c>
    </row>
    <row r="49" spans="1:7" ht="12.75">
      <c r="A49" s="158"/>
      <c r="B49" s="15">
        <v>37590</v>
      </c>
      <c r="C49" s="243">
        <v>1.5</v>
      </c>
      <c r="D49" s="230">
        <f>32.84/510</f>
        <v>0.0643921568627451</v>
      </c>
      <c r="E49" s="230">
        <f t="shared" si="2"/>
        <v>0</v>
      </c>
      <c r="F49" s="243">
        <f aca="true" t="shared" si="3" ref="F49:F62">F48-D49+E49</f>
        <v>0.31645094313725486</v>
      </c>
      <c r="G49" s="151"/>
    </row>
    <row r="50" spans="1:7" ht="12.75">
      <c r="A50" s="158"/>
      <c r="B50" s="15">
        <v>37621</v>
      </c>
      <c r="C50" s="243">
        <v>1.5</v>
      </c>
      <c r="D50" s="230">
        <f>64.17/510</f>
        <v>0.12582352941176472</v>
      </c>
      <c r="E50" s="230">
        <f t="shared" si="2"/>
        <v>0</v>
      </c>
      <c r="F50" s="243">
        <f t="shared" si="3"/>
        <v>0.19062741372549014</v>
      </c>
      <c r="G50" s="151"/>
    </row>
    <row r="51" spans="1:7" ht="12.75">
      <c r="A51" s="158"/>
      <c r="B51" s="15">
        <v>37652</v>
      </c>
      <c r="C51" s="243">
        <v>1.5</v>
      </c>
      <c r="D51" s="230">
        <f>71.71/510</f>
        <v>0.14060784313725488</v>
      </c>
      <c r="E51" s="230">
        <f t="shared" si="2"/>
        <v>0</v>
      </c>
      <c r="F51" s="243">
        <f t="shared" si="3"/>
        <v>0.05001957058823525</v>
      </c>
      <c r="G51" s="151"/>
    </row>
    <row r="52" spans="1:7" ht="12.75">
      <c r="A52" s="158"/>
      <c r="B52" s="15">
        <v>37680</v>
      </c>
      <c r="C52" s="243">
        <v>1.5</v>
      </c>
      <c r="D52" s="230">
        <f>23.55/510</f>
        <v>0.0461764705882353</v>
      </c>
      <c r="E52" s="230">
        <f t="shared" si="2"/>
        <v>0</v>
      </c>
      <c r="F52" s="243">
        <f t="shared" si="3"/>
        <v>0.0038430999999999535</v>
      </c>
      <c r="G52" s="151"/>
    </row>
    <row r="53" spans="1:7" ht="12.75">
      <c r="A53" s="158"/>
      <c r="B53" s="15">
        <v>37711</v>
      </c>
      <c r="C53" s="243">
        <v>1.5</v>
      </c>
      <c r="D53" s="230">
        <f>0/510</f>
        <v>0</v>
      </c>
      <c r="E53" s="230">
        <f t="shared" si="2"/>
        <v>0</v>
      </c>
      <c r="F53" s="243">
        <f t="shared" si="3"/>
        <v>0.0038430999999999535</v>
      </c>
      <c r="G53" s="151"/>
    </row>
    <row r="54" spans="1:7" ht="12.75">
      <c r="A54" s="158"/>
      <c r="B54" s="15">
        <v>37741</v>
      </c>
      <c r="C54" s="243">
        <v>1.5</v>
      </c>
      <c r="D54" s="230">
        <f>0/510</f>
        <v>0</v>
      </c>
      <c r="E54" s="230">
        <f t="shared" si="2"/>
        <v>0</v>
      </c>
      <c r="F54" s="243">
        <f t="shared" si="3"/>
        <v>0.0038430999999999535</v>
      </c>
      <c r="G54" s="151"/>
    </row>
    <row r="55" spans="1:7" ht="12.75">
      <c r="A55" s="158"/>
      <c r="B55" s="15">
        <v>37772</v>
      </c>
      <c r="C55" s="243">
        <v>1.5</v>
      </c>
      <c r="D55" s="230">
        <f>0.11/510</f>
        <v>0.00021568627450980392</v>
      </c>
      <c r="E55" s="230">
        <f t="shared" si="2"/>
        <v>0</v>
      </c>
      <c r="F55" s="243">
        <f t="shared" si="3"/>
        <v>0.0036274137254901496</v>
      </c>
      <c r="G55" s="151"/>
    </row>
    <row r="56" spans="1:7" ht="13.5" thickBot="1">
      <c r="A56" s="148"/>
      <c r="B56" s="11">
        <v>37802</v>
      </c>
      <c r="C56" s="244">
        <v>1.5</v>
      </c>
      <c r="D56" s="232">
        <f>0/510</f>
        <v>0</v>
      </c>
      <c r="E56" s="232">
        <f t="shared" si="2"/>
        <v>0</v>
      </c>
      <c r="F56" s="288">
        <f t="shared" si="3"/>
        <v>0.0036274137254901496</v>
      </c>
      <c r="G56" s="121" t="s">
        <v>25</v>
      </c>
    </row>
    <row r="57" spans="1:7" ht="12.75">
      <c r="A57" s="147" t="s">
        <v>13</v>
      </c>
      <c r="B57" s="7">
        <v>37833</v>
      </c>
      <c r="C57" s="241">
        <v>1.5</v>
      </c>
      <c r="D57" s="227">
        <f>0/510</f>
        <v>0</v>
      </c>
      <c r="E57" s="227">
        <f t="shared" si="2"/>
        <v>0</v>
      </c>
      <c r="F57" s="241">
        <f t="shared" si="3"/>
        <v>0.0036274137254901496</v>
      </c>
      <c r="G57" s="120"/>
    </row>
    <row r="58" spans="1:7" ht="12.75">
      <c r="A58" s="158"/>
      <c r="B58" s="15">
        <v>37864</v>
      </c>
      <c r="C58" s="243">
        <v>1.5</v>
      </c>
      <c r="D58" s="230">
        <f>0/510</f>
        <v>0</v>
      </c>
      <c r="E58" s="230">
        <f>37.88/510</f>
        <v>0.07427450980392157</v>
      </c>
      <c r="F58" s="243">
        <f t="shared" si="3"/>
        <v>0.07790192352941172</v>
      </c>
      <c r="G58" s="151"/>
    </row>
    <row r="59" spans="1:7" ht="12.75">
      <c r="A59" s="158"/>
      <c r="B59" s="15">
        <v>37894</v>
      </c>
      <c r="C59" s="243">
        <v>1.5</v>
      </c>
      <c r="D59" s="230">
        <f>0.09/510</f>
        <v>0.0001764705882352941</v>
      </c>
      <c r="E59" s="230">
        <f>0/510</f>
        <v>0</v>
      </c>
      <c r="F59" s="243">
        <f t="shared" si="3"/>
        <v>0.07772545294117643</v>
      </c>
      <c r="G59" s="151"/>
    </row>
    <row r="60" spans="1:7" ht="12.75">
      <c r="A60" s="158"/>
      <c r="B60" s="15">
        <v>37925</v>
      </c>
      <c r="C60" s="243">
        <v>1.5</v>
      </c>
      <c r="D60" s="230">
        <f>14.16/510</f>
        <v>0.02776470588235294</v>
      </c>
      <c r="E60" s="273">
        <f>2.9/510</f>
        <v>0.005686274509803921</v>
      </c>
      <c r="F60" s="243">
        <f t="shared" si="3"/>
        <v>0.05564702156862741</v>
      </c>
      <c r="G60" s="151"/>
    </row>
    <row r="61" spans="1:7" ht="12.75">
      <c r="A61" s="158"/>
      <c r="B61" s="15">
        <v>37955</v>
      </c>
      <c r="C61" s="243">
        <v>1.5</v>
      </c>
      <c r="D61" s="230">
        <f>1.23/510</f>
        <v>0.002411764705882353</v>
      </c>
      <c r="E61" s="230">
        <f>0/510</f>
        <v>0</v>
      </c>
      <c r="F61" s="243">
        <f t="shared" si="3"/>
        <v>0.05323525686274505</v>
      </c>
      <c r="G61" s="151"/>
    </row>
    <row r="62" spans="1:7" ht="12.75">
      <c r="A62" s="158"/>
      <c r="B62" s="15">
        <v>37986</v>
      </c>
      <c r="C62" s="243">
        <v>1.5</v>
      </c>
      <c r="D62" s="230">
        <f>19.16/510</f>
        <v>0.03756862745098039</v>
      </c>
      <c r="E62" s="230">
        <f>0/510</f>
        <v>0</v>
      </c>
      <c r="F62" s="243">
        <f t="shared" si="3"/>
        <v>0.01566662941176466</v>
      </c>
      <c r="G62" s="151"/>
    </row>
    <row r="63" spans="1:7" ht="12.75">
      <c r="A63" s="158"/>
      <c r="B63" s="15">
        <v>38017</v>
      </c>
      <c r="C63" s="243">
        <v>1.5</v>
      </c>
      <c r="D63" s="230">
        <f>0/510</f>
        <v>0</v>
      </c>
      <c r="E63" s="230">
        <f>113.73/510</f>
        <v>0.223</v>
      </c>
      <c r="F63" s="243">
        <f aca="true" t="shared" si="4" ref="F63:F69">F62-D63+E63</f>
        <v>0.23866662941176467</v>
      </c>
      <c r="G63" s="151"/>
    </row>
    <row r="64" spans="1:7" ht="12.75">
      <c r="A64" s="158"/>
      <c r="B64" s="15">
        <v>38046</v>
      </c>
      <c r="C64" s="243">
        <v>1.5</v>
      </c>
      <c r="D64" s="230">
        <f>0/510</f>
        <v>0</v>
      </c>
      <c r="E64" s="230">
        <f>2.14/510</f>
        <v>0.0041960784313725494</v>
      </c>
      <c r="F64" s="243">
        <f t="shared" si="4"/>
        <v>0.2428627078431372</v>
      </c>
      <c r="G64" s="151"/>
    </row>
    <row r="65" spans="1:7" ht="12.75">
      <c r="A65" s="158"/>
      <c r="B65" s="15">
        <v>38077</v>
      </c>
      <c r="C65" s="243">
        <v>1.5</v>
      </c>
      <c r="D65" s="230">
        <f>0/510</f>
        <v>0</v>
      </c>
      <c r="E65" s="230">
        <f>0/510</f>
        <v>0</v>
      </c>
      <c r="F65" s="243">
        <f t="shared" si="4"/>
        <v>0.2428627078431372</v>
      </c>
      <c r="G65" s="151"/>
    </row>
    <row r="66" spans="1:7" ht="12.75">
      <c r="A66" s="158"/>
      <c r="B66" s="15">
        <v>38107</v>
      </c>
      <c r="C66" s="243">
        <v>1.5</v>
      </c>
      <c r="D66" s="230">
        <f>0.09/510</f>
        <v>0.0001764705882352941</v>
      </c>
      <c r="E66" s="230">
        <f>0/510</f>
        <v>0</v>
      </c>
      <c r="F66" s="243">
        <f t="shared" si="4"/>
        <v>0.2426862372549019</v>
      </c>
      <c r="G66" s="151"/>
    </row>
    <row r="67" spans="1:7" ht="12.75">
      <c r="A67" s="158"/>
      <c r="B67" s="15">
        <v>38138</v>
      </c>
      <c r="C67" s="243">
        <v>1.5</v>
      </c>
      <c r="D67" s="230">
        <f>0.09/510</f>
        <v>0.0001764705882352941</v>
      </c>
      <c r="E67" s="230">
        <f>0/510</f>
        <v>0</v>
      </c>
      <c r="F67" s="243">
        <f t="shared" si="4"/>
        <v>0.2425097666666666</v>
      </c>
      <c r="G67" s="151"/>
    </row>
    <row r="68" spans="1:7" ht="13.5" thickBot="1">
      <c r="A68" s="148"/>
      <c r="B68" s="11">
        <v>38168</v>
      </c>
      <c r="C68" s="244">
        <v>1.5</v>
      </c>
      <c r="D68" s="232">
        <f>0/510</f>
        <v>0</v>
      </c>
      <c r="E68" s="232">
        <f>0/510</f>
        <v>0</v>
      </c>
      <c r="F68" s="243">
        <f t="shared" si="4"/>
        <v>0.2425097666666666</v>
      </c>
      <c r="G68" s="281"/>
    </row>
    <row r="69" spans="1:7" ht="16.5" customHeight="1" thickBot="1">
      <c r="A69" s="127" t="s">
        <v>42</v>
      </c>
      <c r="B69" s="345" t="s">
        <v>58</v>
      </c>
      <c r="C69" s="339"/>
      <c r="D69" s="339"/>
      <c r="E69" s="339"/>
      <c r="F69" s="339"/>
      <c r="G69" s="337"/>
    </row>
    <row r="70" spans="1:7" ht="12.75">
      <c r="A70" s="27"/>
      <c r="B70" s="5"/>
      <c r="C70" s="28"/>
      <c r="D70" s="233"/>
      <c r="E70" s="28"/>
      <c r="F70" s="233"/>
      <c r="G70" s="5"/>
    </row>
    <row r="71" spans="1:7" ht="12.75">
      <c r="A71" s="27"/>
      <c r="B71" s="5"/>
      <c r="C71" s="28"/>
      <c r="D71" s="233"/>
      <c r="E71" s="28"/>
      <c r="F71" s="233"/>
      <c r="G71" s="5"/>
    </row>
    <row r="72" spans="1:7" ht="12.75">
      <c r="A72" s="27"/>
      <c r="B72" s="5"/>
      <c r="C72" s="28"/>
      <c r="D72" s="233"/>
      <c r="E72" s="28"/>
      <c r="F72" s="233"/>
      <c r="G72" s="5"/>
    </row>
    <row r="73" spans="1:7" ht="12.75">
      <c r="A73" s="27"/>
      <c r="B73" s="5"/>
      <c r="C73" s="28"/>
      <c r="D73" s="233"/>
      <c r="E73" s="28"/>
      <c r="F73" s="233"/>
      <c r="G73" s="5"/>
    </row>
    <row r="74" spans="1:7" ht="12.75">
      <c r="A74" s="27"/>
      <c r="B74" s="5"/>
      <c r="C74" s="28"/>
      <c r="D74" s="233"/>
      <c r="E74" s="28"/>
      <c r="F74" s="233"/>
      <c r="G74" s="5"/>
    </row>
    <row r="75" spans="1:7" ht="12.75">
      <c r="A75" s="27"/>
      <c r="B75" s="5"/>
      <c r="C75" s="28"/>
      <c r="D75" s="233"/>
      <c r="E75" s="28"/>
      <c r="F75" s="233"/>
      <c r="G75" s="5"/>
    </row>
    <row r="76" spans="1:7" ht="12.75">
      <c r="A76" s="27"/>
      <c r="B76" s="5"/>
      <c r="C76" s="28"/>
      <c r="D76" s="233"/>
      <c r="E76" s="28"/>
      <c r="F76" s="233"/>
      <c r="G76" s="5"/>
    </row>
    <row r="77" spans="1:7" ht="12.75">
      <c r="A77" s="27"/>
      <c r="B77" s="5"/>
      <c r="C77" s="28"/>
      <c r="D77" s="233"/>
      <c r="E77" s="28"/>
      <c r="F77" s="233"/>
      <c r="G77" s="5"/>
    </row>
    <row r="78" spans="1:7" ht="12.75">
      <c r="A78" s="27"/>
      <c r="B78" s="5"/>
      <c r="C78" s="28"/>
      <c r="D78" s="233"/>
      <c r="E78" s="28"/>
      <c r="F78" s="233"/>
      <c r="G78" s="5"/>
    </row>
    <row r="79" spans="1:7" ht="12.75">
      <c r="A79" s="27"/>
      <c r="B79" s="5"/>
      <c r="C79" s="28"/>
      <c r="D79" s="233"/>
      <c r="E79" s="28"/>
      <c r="F79" s="233"/>
      <c r="G79" s="5"/>
    </row>
    <row r="80" spans="1:7" ht="12.75">
      <c r="A80" s="27"/>
      <c r="B80" s="5"/>
      <c r="C80" s="28"/>
      <c r="D80" s="233"/>
      <c r="E80" s="28"/>
      <c r="F80" s="233"/>
      <c r="G80" s="5"/>
    </row>
    <row r="81" spans="1:7" ht="12.75">
      <c r="A81" s="27"/>
      <c r="B81" s="5"/>
      <c r="C81" s="28"/>
      <c r="D81" s="233"/>
      <c r="E81" s="28"/>
      <c r="F81" s="233"/>
      <c r="G81" s="5"/>
    </row>
    <row r="82" spans="1:7" ht="12.75">
      <c r="A82" s="27"/>
      <c r="B82" s="5"/>
      <c r="C82" s="28"/>
      <c r="D82" s="233"/>
      <c r="E82" s="28"/>
      <c r="F82" s="233"/>
      <c r="G82" s="5"/>
    </row>
    <row r="83" spans="1:7" ht="12.75">
      <c r="A83" s="27"/>
      <c r="B83" s="5"/>
      <c r="C83" s="28"/>
      <c r="D83" s="233"/>
      <c r="E83" s="28"/>
      <c r="F83" s="233"/>
      <c r="G83" s="5"/>
    </row>
    <row r="84" spans="1:7" ht="12.75">
      <c r="A84" s="27"/>
      <c r="B84" s="5"/>
      <c r="C84" s="28"/>
      <c r="D84" s="233"/>
      <c r="E84" s="28"/>
      <c r="F84" s="233"/>
      <c r="G84" s="5"/>
    </row>
    <row r="85" spans="1:7" ht="12.75">
      <c r="A85" s="27"/>
      <c r="B85" s="5"/>
      <c r="C85" s="28"/>
      <c r="D85" s="233"/>
      <c r="E85" s="28"/>
      <c r="F85" s="233"/>
      <c r="G85" s="5"/>
    </row>
    <row r="86" spans="1:7" ht="12.75">
      <c r="A86" s="27"/>
      <c r="B86" s="5"/>
      <c r="C86" s="28"/>
      <c r="D86" s="233"/>
      <c r="E86" s="28"/>
      <c r="F86" s="233"/>
      <c r="G86" s="5"/>
    </row>
    <row r="87" spans="1:7" ht="12.75">
      <c r="A87" s="27"/>
      <c r="B87" s="5"/>
      <c r="C87" s="28"/>
      <c r="D87" s="233"/>
      <c r="E87" s="28"/>
      <c r="F87" s="233"/>
      <c r="G87" s="5"/>
    </row>
    <row r="88" spans="1:7" ht="12.75">
      <c r="A88" s="27"/>
      <c r="B88" s="5"/>
      <c r="C88" s="28"/>
      <c r="D88" s="233"/>
      <c r="E88" s="28"/>
      <c r="F88" s="233"/>
      <c r="G88" s="5"/>
    </row>
    <row r="89" spans="1:7" ht="12.75">
      <c r="A89" s="27"/>
      <c r="B89" s="5"/>
      <c r="C89" s="28"/>
      <c r="D89" s="233"/>
      <c r="E89" s="28"/>
      <c r="F89" s="233"/>
      <c r="G89" s="5"/>
    </row>
    <row r="90" spans="1:7" ht="12.75">
      <c r="A90" s="27"/>
      <c r="B90" s="5"/>
      <c r="C90" s="28"/>
      <c r="D90" s="233"/>
      <c r="E90" s="28"/>
      <c r="F90" s="233"/>
      <c r="G90" s="5"/>
    </row>
    <row r="91" spans="1:7" ht="12.75">
      <c r="A91" s="27"/>
      <c r="B91" s="5"/>
      <c r="C91" s="28"/>
      <c r="D91" s="233"/>
      <c r="E91" s="28"/>
      <c r="F91" s="233"/>
      <c r="G91" s="5"/>
    </row>
    <row r="92" spans="1:7" ht="12.75">
      <c r="A92" s="27"/>
      <c r="B92" s="5"/>
      <c r="C92" s="28"/>
      <c r="D92" s="233"/>
      <c r="E92" s="28"/>
      <c r="F92" s="233"/>
      <c r="G92" s="5"/>
    </row>
    <row r="93" spans="1:7" ht="12.75">
      <c r="A93" s="27"/>
      <c r="B93" s="5"/>
      <c r="C93" s="28"/>
      <c r="D93" s="233"/>
      <c r="E93" s="28"/>
      <c r="F93" s="233"/>
      <c r="G93" s="5"/>
    </row>
    <row r="94" spans="1:7" ht="12.75">
      <c r="A94" s="27"/>
      <c r="B94" s="5"/>
      <c r="C94" s="28"/>
      <c r="D94" s="233"/>
      <c r="E94" s="28"/>
      <c r="F94" s="233"/>
      <c r="G94" s="5"/>
    </row>
    <row r="95" spans="1:7" ht="12.75">
      <c r="A95" s="27"/>
      <c r="B95" s="5"/>
      <c r="C95" s="28"/>
      <c r="D95" s="233"/>
      <c r="E95" s="28"/>
      <c r="F95" s="233"/>
      <c r="G95" s="5"/>
    </row>
    <row r="96" spans="1:7" ht="12.75">
      <c r="A96" s="27"/>
      <c r="B96" s="5"/>
      <c r="C96" s="28"/>
      <c r="D96" s="233"/>
      <c r="E96" s="28"/>
      <c r="F96" s="233"/>
      <c r="G96" s="5"/>
    </row>
    <row r="97" spans="1:7" ht="12.75">
      <c r="A97" s="27"/>
      <c r="B97" s="5"/>
      <c r="C97" s="28"/>
      <c r="D97" s="233"/>
      <c r="E97" s="28"/>
      <c r="F97" s="233"/>
      <c r="G97" s="5"/>
    </row>
    <row r="98" spans="1:7" ht="12.75">
      <c r="A98" s="27"/>
      <c r="B98" s="5"/>
      <c r="C98" s="28"/>
      <c r="D98" s="233"/>
      <c r="E98" s="28"/>
      <c r="F98" s="233"/>
      <c r="G98" s="5"/>
    </row>
    <row r="99" spans="1:7" ht="12.75">
      <c r="A99" s="27"/>
      <c r="B99" s="5"/>
      <c r="C99" s="28"/>
      <c r="D99" s="233"/>
      <c r="E99" s="28"/>
      <c r="F99" s="233"/>
      <c r="G99" s="5"/>
    </row>
    <row r="100" spans="1:7" ht="12.75">
      <c r="A100" s="27"/>
      <c r="B100" s="5"/>
      <c r="C100" s="28"/>
      <c r="D100" s="233"/>
      <c r="E100" s="28"/>
      <c r="F100" s="233"/>
      <c r="G100" s="5"/>
    </row>
    <row r="101" spans="1:7" ht="12.75">
      <c r="A101" s="27"/>
      <c r="B101" s="5"/>
      <c r="C101" s="28"/>
      <c r="D101" s="233"/>
      <c r="E101" s="28"/>
      <c r="F101" s="233"/>
      <c r="G101" s="5"/>
    </row>
    <row r="102" spans="1:7" ht="12.75">
      <c r="A102" s="27"/>
      <c r="B102" s="5"/>
      <c r="C102" s="28"/>
      <c r="D102" s="233"/>
      <c r="E102" s="28"/>
      <c r="F102" s="233"/>
      <c r="G102" s="5"/>
    </row>
    <row r="103" spans="1:7" ht="12.75">
      <c r="A103" s="27"/>
      <c r="B103" s="5"/>
      <c r="C103" s="28"/>
      <c r="D103" s="233"/>
      <c r="E103" s="28"/>
      <c r="F103" s="233"/>
      <c r="G103" s="5"/>
    </row>
    <row r="104" spans="1:7" ht="12.75">
      <c r="A104" s="27"/>
      <c r="B104" s="5"/>
      <c r="C104" s="28"/>
      <c r="D104" s="233"/>
      <c r="E104" s="28"/>
      <c r="F104" s="233"/>
      <c r="G104" s="5"/>
    </row>
    <row r="105" spans="1:7" ht="12.75">
      <c r="A105" s="27"/>
      <c r="B105" s="5"/>
      <c r="C105" s="28"/>
      <c r="D105" s="233"/>
      <c r="E105" s="28"/>
      <c r="F105" s="233"/>
      <c r="G105" s="5"/>
    </row>
    <row r="106" spans="1:7" ht="12.75">
      <c r="A106" s="27"/>
      <c r="B106" s="5"/>
      <c r="C106" s="28"/>
      <c r="D106" s="233"/>
      <c r="E106" s="28"/>
      <c r="F106" s="233"/>
      <c r="G106" s="5"/>
    </row>
    <row r="107" spans="1:7" ht="12.75">
      <c r="A107" s="27"/>
      <c r="B107" s="5"/>
      <c r="C107" s="28"/>
      <c r="D107" s="233"/>
      <c r="E107" s="28"/>
      <c r="F107" s="233"/>
      <c r="G107" s="5"/>
    </row>
    <row r="108" spans="1:7" ht="12.75">
      <c r="A108" s="27"/>
      <c r="B108" s="5"/>
      <c r="C108" s="28"/>
      <c r="D108" s="233"/>
      <c r="E108" s="28"/>
      <c r="F108" s="233"/>
      <c r="G108" s="5"/>
    </row>
    <row r="109" spans="1:7" ht="12.75">
      <c r="A109" s="27"/>
      <c r="B109" s="5"/>
      <c r="C109" s="28"/>
      <c r="D109" s="233"/>
      <c r="E109" s="28"/>
      <c r="F109" s="233"/>
      <c r="G109" s="5"/>
    </row>
    <row r="110" spans="1:7" ht="12.75">
      <c r="A110" s="27"/>
      <c r="B110" s="5"/>
      <c r="C110" s="28"/>
      <c r="D110" s="233"/>
      <c r="E110" s="28"/>
      <c r="F110" s="233"/>
      <c r="G110" s="5"/>
    </row>
    <row r="111" spans="1:7" ht="12.75">
      <c r="A111" s="27"/>
      <c r="B111" s="5"/>
      <c r="C111" s="28"/>
      <c r="D111" s="233"/>
      <c r="E111" s="28"/>
      <c r="F111" s="233"/>
      <c r="G111" s="5"/>
    </row>
    <row r="112" spans="1:7" ht="12.75">
      <c r="A112" s="27"/>
      <c r="B112" s="5"/>
      <c r="C112" s="28"/>
      <c r="D112" s="233"/>
      <c r="E112" s="28"/>
      <c r="F112" s="233"/>
      <c r="G112" s="5"/>
    </row>
    <row r="113" spans="1:7" ht="12.75">
      <c r="A113" s="27"/>
      <c r="B113" s="5"/>
      <c r="C113" s="28"/>
      <c r="D113" s="233"/>
      <c r="E113" s="28"/>
      <c r="F113" s="233"/>
      <c r="G113" s="5"/>
    </row>
    <row r="114" spans="1:7" ht="12.75">
      <c r="A114" s="27"/>
      <c r="B114" s="5"/>
      <c r="C114" s="28"/>
      <c r="D114" s="233"/>
      <c r="E114" s="28"/>
      <c r="F114" s="233"/>
      <c r="G114" s="5"/>
    </row>
    <row r="115" spans="1:7" ht="12.75">
      <c r="A115" s="27"/>
      <c r="B115" s="5"/>
      <c r="C115" s="28"/>
      <c r="D115" s="233"/>
      <c r="E115" s="28"/>
      <c r="F115" s="233"/>
      <c r="G115" s="5"/>
    </row>
    <row r="116" spans="1:7" ht="12.75">
      <c r="A116" s="27"/>
      <c r="B116" s="5"/>
      <c r="C116" s="28"/>
      <c r="D116" s="233"/>
      <c r="E116" s="28"/>
      <c r="F116" s="233"/>
      <c r="G116" s="5"/>
    </row>
    <row r="117" spans="1:7" ht="12.75">
      <c r="A117" s="27"/>
      <c r="B117" s="5"/>
      <c r="C117" s="28"/>
      <c r="D117" s="233"/>
      <c r="E117" s="28"/>
      <c r="F117" s="233"/>
      <c r="G117" s="5"/>
    </row>
    <row r="118" spans="1:7" ht="12.75">
      <c r="A118" s="27"/>
      <c r="B118" s="5"/>
      <c r="C118" s="28"/>
      <c r="D118" s="233"/>
      <c r="E118" s="28"/>
      <c r="F118" s="233"/>
      <c r="G118" s="5"/>
    </row>
    <row r="119" spans="1:7" ht="12.75">
      <c r="A119" s="27"/>
      <c r="B119" s="5"/>
      <c r="C119" s="28"/>
      <c r="D119" s="233"/>
      <c r="E119" s="28"/>
      <c r="F119" s="233"/>
      <c r="G119" s="5"/>
    </row>
    <row r="120" spans="1:7" ht="12.75">
      <c r="A120" s="27"/>
      <c r="B120" s="5"/>
      <c r="C120" s="28"/>
      <c r="D120" s="233"/>
      <c r="E120" s="28"/>
      <c r="F120" s="233"/>
      <c r="G120" s="5"/>
    </row>
    <row r="121" spans="1:7" ht="12.75">
      <c r="A121" s="27"/>
      <c r="B121" s="5"/>
      <c r="C121" s="28"/>
      <c r="D121" s="233"/>
      <c r="E121" s="28"/>
      <c r="F121" s="233"/>
      <c r="G121" s="5"/>
    </row>
    <row r="122" spans="1:7" ht="12.75">
      <c r="A122" s="27"/>
      <c r="B122" s="5"/>
      <c r="C122" s="28"/>
      <c r="D122" s="233"/>
      <c r="E122" s="28"/>
      <c r="F122" s="233"/>
      <c r="G122" s="5"/>
    </row>
    <row r="123" spans="1:7" ht="12.75">
      <c r="A123" s="27"/>
      <c r="B123" s="5"/>
      <c r="C123" s="28"/>
      <c r="D123" s="233"/>
      <c r="E123" s="28"/>
      <c r="F123" s="233"/>
      <c r="G123" s="5"/>
    </row>
    <row r="124" spans="1:7" ht="12.75">
      <c r="A124" s="27"/>
      <c r="B124" s="5"/>
      <c r="C124" s="28"/>
      <c r="D124" s="233"/>
      <c r="E124" s="28"/>
      <c r="F124" s="233"/>
      <c r="G124" s="5"/>
    </row>
    <row r="125" spans="1:7" ht="12.75">
      <c r="A125" s="27"/>
      <c r="B125" s="5"/>
      <c r="C125" s="28"/>
      <c r="D125" s="233"/>
      <c r="E125" s="28"/>
      <c r="F125" s="233"/>
      <c r="G125" s="5"/>
    </row>
    <row r="126" spans="1:7" ht="12.75">
      <c r="A126" s="27"/>
      <c r="B126" s="5"/>
      <c r="C126" s="28"/>
      <c r="D126" s="233"/>
      <c r="E126" s="28"/>
      <c r="F126" s="233"/>
      <c r="G126" s="5"/>
    </row>
    <row r="127" spans="1:7" ht="12.75">
      <c r="A127" s="27"/>
      <c r="B127" s="5"/>
      <c r="C127" s="28"/>
      <c r="D127" s="233"/>
      <c r="E127" s="28"/>
      <c r="F127" s="233"/>
      <c r="G127" s="5"/>
    </row>
    <row r="128" spans="1:7" ht="12.75">
      <c r="A128" s="27"/>
      <c r="B128" s="5"/>
      <c r="C128" s="28"/>
      <c r="D128" s="233"/>
      <c r="E128" s="28"/>
      <c r="F128" s="233"/>
      <c r="G128" s="5"/>
    </row>
    <row r="129" spans="1:7" ht="12.75">
      <c r="A129" s="27"/>
      <c r="B129" s="5"/>
      <c r="C129" s="28"/>
      <c r="D129" s="233"/>
      <c r="E129" s="28"/>
      <c r="F129" s="233"/>
      <c r="G129" s="5"/>
    </row>
    <row r="130" spans="1:7" ht="12.75">
      <c r="A130" s="27"/>
      <c r="B130" s="5"/>
      <c r="C130" s="28"/>
      <c r="D130" s="233"/>
      <c r="E130" s="28"/>
      <c r="F130" s="233"/>
      <c r="G130" s="5"/>
    </row>
    <row r="131" spans="1:7" ht="12.75">
      <c r="A131" s="27"/>
      <c r="B131" s="5"/>
      <c r="C131" s="28"/>
      <c r="D131" s="233"/>
      <c r="E131" s="28"/>
      <c r="F131" s="233"/>
      <c r="G131" s="5"/>
    </row>
    <row r="132" spans="1:7" ht="12.75">
      <c r="A132" s="27"/>
      <c r="B132" s="5"/>
      <c r="C132" s="28"/>
      <c r="D132" s="233"/>
      <c r="E132" s="28"/>
      <c r="F132" s="233"/>
      <c r="G132" s="5"/>
    </row>
    <row r="133" spans="1:7" ht="12.75">
      <c r="A133" s="27"/>
      <c r="B133" s="5"/>
      <c r="C133" s="28"/>
      <c r="D133" s="233"/>
      <c r="E133" s="28"/>
      <c r="F133" s="233"/>
      <c r="G133" s="5"/>
    </row>
    <row r="134" spans="1:7" ht="12.75">
      <c r="A134" s="27"/>
      <c r="B134" s="5"/>
      <c r="C134" s="28"/>
      <c r="D134" s="233"/>
      <c r="E134" s="28"/>
      <c r="F134" s="233"/>
      <c r="G134" s="5"/>
    </row>
    <row r="135" spans="1:7" ht="12.75">
      <c r="A135" s="27"/>
      <c r="B135" s="5"/>
      <c r="C135" s="28"/>
      <c r="D135" s="233"/>
      <c r="E135" s="28"/>
      <c r="F135" s="233"/>
      <c r="G135" s="5"/>
    </row>
    <row r="136" spans="1:7" ht="12.75">
      <c r="A136" s="27"/>
      <c r="B136" s="5"/>
      <c r="C136" s="28"/>
      <c r="D136" s="233"/>
      <c r="E136" s="28"/>
      <c r="F136" s="233"/>
      <c r="G136" s="5"/>
    </row>
    <row r="137" spans="1:7" ht="12.75">
      <c r="A137" s="27"/>
      <c r="B137" s="5"/>
      <c r="C137" s="28"/>
      <c r="D137" s="233"/>
      <c r="E137" s="28"/>
      <c r="F137" s="233"/>
      <c r="G137" s="5"/>
    </row>
    <row r="138" spans="1:7" ht="12.75">
      <c r="A138" s="27"/>
      <c r="B138" s="5"/>
      <c r="C138" s="28"/>
      <c r="D138" s="233"/>
      <c r="E138" s="28"/>
      <c r="F138" s="233"/>
      <c r="G138" s="5"/>
    </row>
    <row r="139" spans="1:7" ht="12.75">
      <c r="A139" s="27"/>
      <c r="B139" s="5"/>
      <c r="C139" s="28"/>
      <c r="D139" s="233"/>
      <c r="E139" s="28"/>
      <c r="F139" s="233"/>
      <c r="G139" s="5"/>
    </row>
    <row r="140" spans="1:7" ht="12.75">
      <c r="A140" s="27"/>
      <c r="B140" s="5"/>
      <c r="C140" s="28"/>
      <c r="D140" s="233"/>
      <c r="E140" s="28"/>
      <c r="F140" s="233"/>
      <c r="G140" s="5"/>
    </row>
    <row r="141" spans="1:7" ht="12.75">
      <c r="A141" s="27"/>
      <c r="B141" s="5"/>
      <c r="C141" s="28"/>
      <c r="D141" s="233"/>
      <c r="E141" s="28"/>
      <c r="F141" s="233"/>
      <c r="G141" s="5"/>
    </row>
    <row r="142" spans="1:7" ht="12.75">
      <c r="A142" s="27"/>
      <c r="B142" s="5"/>
      <c r="C142" s="28"/>
      <c r="D142" s="233"/>
      <c r="E142" s="28"/>
      <c r="F142" s="233"/>
      <c r="G142" s="5"/>
    </row>
    <row r="143" spans="1:7" ht="12.75">
      <c r="A143" s="27"/>
      <c r="B143" s="5"/>
      <c r="C143" s="28"/>
      <c r="D143" s="233"/>
      <c r="E143" s="28"/>
      <c r="F143" s="233"/>
      <c r="G143" s="5"/>
    </row>
    <row r="144" spans="1:7" ht="12.75">
      <c r="A144" s="27"/>
      <c r="B144" s="5"/>
      <c r="C144" s="28"/>
      <c r="D144" s="233"/>
      <c r="E144" s="28"/>
      <c r="F144" s="233"/>
      <c r="G144" s="5"/>
    </row>
    <row r="145" spans="1:7" ht="12.75">
      <c r="A145" s="27"/>
      <c r="B145" s="5"/>
      <c r="C145" s="28"/>
      <c r="D145" s="233"/>
      <c r="E145" s="28"/>
      <c r="F145" s="233"/>
      <c r="G145" s="5"/>
    </row>
    <row r="146" spans="1:7" ht="12.75">
      <c r="A146" s="27"/>
      <c r="B146" s="5"/>
      <c r="C146" s="28"/>
      <c r="D146" s="233"/>
      <c r="E146" s="28"/>
      <c r="F146" s="233"/>
      <c r="G146" s="5"/>
    </row>
    <row r="147" spans="1:7" ht="12.75">
      <c r="A147" s="27"/>
      <c r="B147" s="5"/>
      <c r="C147" s="28"/>
      <c r="D147" s="233"/>
      <c r="E147" s="28"/>
      <c r="F147" s="233"/>
      <c r="G147" s="5"/>
    </row>
    <row r="148" spans="1:7" ht="12.75">
      <c r="A148" s="27"/>
      <c r="B148" s="5"/>
      <c r="C148" s="28"/>
      <c r="D148" s="233"/>
      <c r="E148" s="28"/>
      <c r="F148" s="233"/>
      <c r="G148" s="5"/>
    </row>
    <row r="149" spans="1:7" ht="12.75">
      <c r="A149" s="27"/>
      <c r="B149" s="5"/>
      <c r="C149" s="28"/>
      <c r="D149" s="233"/>
      <c r="E149" s="28"/>
      <c r="F149" s="233"/>
      <c r="G149" s="5"/>
    </row>
    <row r="150" spans="1:7" ht="12.75">
      <c r="A150" s="27"/>
      <c r="B150" s="5"/>
      <c r="C150" s="28"/>
      <c r="D150" s="233"/>
      <c r="E150" s="28"/>
      <c r="F150" s="233"/>
      <c r="G150" s="5"/>
    </row>
    <row r="151" spans="1:7" ht="12.75">
      <c r="A151" s="27"/>
      <c r="B151" s="5"/>
      <c r="C151" s="28"/>
      <c r="D151" s="233"/>
      <c r="E151" s="28"/>
      <c r="F151" s="233"/>
      <c r="G151" s="5"/>
    </row>
    <row r="152" spans="1:7" ht="12.75">
      <c r="A152" s="27"/>
      <c r="B152" s="5"/>
      <c r="C152" s="28"/>
      <c r="D152" s="233"/>
      <c r="E152" s="28"/>
      <c r="F152" s="233"/>
      <c r="G152" s="5"/>
    </row>
    <row r="153" spans="1:7" ht="12.75">
      <c r="A153" s="27"/>
      <c r="B153" s="5"/>
      <c r="C153" s="28"/>
      <c r="D153" s="233"/>
      <c r="E153" s="28"/>
      <c r="F153" s="233"/>
      <c r="G153" s="5"/>
    </row>
    <row r="154" spans="1:7" ht="12.75">
      <c r="A154" s="27"/>
      <c r="B154" s="5"/>
      <c r="C154" s="28"/>
      <c r="D154" s="233"/>
      <c r="E154" s="28"/>
      <c r="F154" s="233"/>
      <c r="G154" s="5"/>
    </row>
    <row r="155" spans="1:7" ht="12.75">
      <c r="A155" s="27"/>
      <c r="B155" s="5"/>
      <c r="C155" s="28"/>
      <c r="D155" s="233"/>
      <c r="E155" s="28"/>
      <c r="F155" s="233"/>
      <c r="G155" s="5"/>
    </row>
    <row r="156" spans="1:7" ht="12.75">
      <c r="A156" s="27"/>
      <c r="B156" s="5"/>
      <c r="C156" s="28"/>
      <c r="D156" s="233"/>
      <c r="E156" s="28"/>
      <c r="F156" s="233"/>
      <c r="G156" s="5"/>
    </row>
    <row r="157" spans="1:7" ht="12.75">
      <c r="A157" s="27"/>
      <c r="B157" s="5"/>
      <c r="C157" s="28"/>
      <c r="D157" s="233"/>
      <c r="E157" s="28"/>
      <c r="F157" s="233"/>
      <c r="G157" s="5"/>
    </row>
    <row r="158" spans="1:7" ht="12.75">
      <c r="A158" s="27"/>
      <c r="B158" s="5"/>
      <c r="C158" s="28"/>
      <c r="D158" s="233"/>
      <c r="E158" s="28"/>
      <c r="F158" s="233"/>
      <c r="G158" s="5"/>
    </row>
    <row r="159" spans="1:7" ht="12.75">
      <c r="A159" s="27"/>
      <c r="B159" s="5"/>
      <c r="C159" s="28"/>
      <c r="D159" s="233"/>
      <c r="E159" s="28"/>
      <c r="F159" s="233"/>
      <c r="G159" s="5"/>
    </row>
    <row r="160" spans="1:7" ht="12.75">
      <c r="A160" s="27"/>
      <c r="B160" s="5"/>
      <c r="C160" s="28"/>
      <c r="D160" s="233"/>
      <c r="E160" s="28"/>
      <c r="F160" s="233"/>
      <c r="G160" s="5"/>
    </row>
    <row r="161" spans="1:7" ht="12.75">
      <c r="A161" s="27"/>
      <c r="B161" s="5"/>
      <c r="C161" s="28"/>
      <c r="D161" s="233"/>
      <c r="E161" s="28"/>
      <c r="F161" s="233"/>
      <c r="G161" s="5"/>
    </row>
    <row r="162" spans="1:7" ht="12.75">
      <c r="A162" s="27"/>
      <c r="B162" s="5"/>
      <c r="C162" s="28"/>
      <c r="D162" s="233"/>
      <c r="E162" s="28"/>
      <c r="F162" s="233"/>
      <c r="G162" s="5"/>
    </row>
    <row r="163" spans="1:7" ht="12.75">
      <c r="A163" s="27"/>
      <c r="B163" s="5"/>
      <c r="C163" s="28"/>
      <c r="D163" s="233"/>
      <c r="E163" s="28"/>
      <c r="F163" s="233"/>
      <c r="G163" s="5"/>
    </row>
    <row r="164" spans="1:7" ht="12.75">
      <c r="A164" s="27"/>
      <c r="B164" s="5"/>
      <c r="C164" s="28"/>
      <c r="D164" s="233"/>
      <c r="E164" s="28"/>
      <c r="F164" s="233"/>
      <c r="G164" s="5"/>
    </row>
    <row r="165" spans="1:7" ht="12.75">
      <c r="A165" s="27"/>
      <c r="B165" s="5"/>
      <c r="C165" s="28"/>
      <c r="D165" s="233"/>
      <c r="E165" s="28"/>
      <c r="F165" s="233"/>
      <c r="G165" s="5"/>
    </row>
    <row r="166" spans="1:7" ht="12.75">
      <c r="A166" s="27"/>
      <c r="B166" s="5"/>
      <c r="C166" s="28"/>
      <c r="D166" s="233"/>
      <c r="E166" s="28"/>
      <c r="F166" s="233"/>
      <c r="G166" s="5"/>
    </row>
    <row r="167" spans="1:7" ht="12.75">
      <c r="A167" s="27"/>
      <c r="B167" s="5"/>
      <c r="C167" s="28"/>
      <c r="D167" s="233"/>
      <c r="E167" s="28"/>
      <c r="F167" s="233"/>
      <c r="G167" s="5"/>
    </row>
    <row r="168" spans="1:7" ht="12.75">
      <c r="A168" s="27"/>
      <c r="B168" s="5"/>
      <c r="C168" s="28"/>
      <c r="D168" s="233"/>
      <c r="E168" s="28"/>
      <c r="F168" s="233"/>
      <c r="G168" s="5"/>
    </row>
    <row r="169" spans="1:7" ht="12.75">
      <c r="A169" s="27"/>
      <c r="B169" s="5"/>
      <c r="C169" s="28"/>
      <c r="D169" s="233"/>
      <c r="E169" s="28"/>
      <c r="F169" s="233"/>
      <c r="G169" s="5"/>
    </row>
    <row r="170" spans="1:7" ht="12.75">
      <c r="A170" s="27"/>
      <c r="B170" s="5"/>
      <c r="C170" s="28"/>
      <c r="D170" s="233"/>
      <c r="E170" s="28"/>
      <c r="F170" s="233"/>
      <c r="G170" s="5"/>
    </row>
    <row r="171" spans="1:7" ht="12.75">
      <c r="A171" s="27"/>
      <c r="B171" s="5"/>
      <c r="C171" s="28"/>
      <c r="D171" s="233"/>
      <c r="E171" s="28"/>
      <c r="F171" s="233"/>
      <c r="G171" s="5"/>
    </row>
    <row r="172" spans="1:7" ht="12.75">
      <c r="A172" s="27"/>
      <c r="B172" s="5"/>
      <c r="C172" s="28"/>
      <c r="D172" s="233"/>
      <c r="E172" s="28"/>
      <c r="F172" s="233"/>
      <c r="G172" s="5"/>
    </row>
    <row r="173" spans="1:7" ht="12.75">
      <c r="A173" s="27"/>
      <c r="B173" s="5"/>
      <c r="C173" s="28"/>
      <c r="D173" s="233"/>
      <c r="E173" s="28"/>
      <c r="F173" s="233"/>
      <c r="G173" s="5"/>
    </row>
    <row r="174" spans="1:7" ht="12.75">
      <c r="A174" s="27"/>
      <c r="B174" s="5"/>
      <c r="C174" s="28"/>
      <c r="D174" s="233"/>
      <c r="E174" s="28"/>
      <c r="F174" s="233"/>
      <c r="G174" s="5"/>
    </row>
    <row r="175" spans="1:7" ht="12.75">
      <c r="A175" s="27"/>
      <c r="B175" s="5"/>
      <c r="C175" s="28"/>
      <c r="D175" s="233"/>
      <c r="E175" s="28"/>
      <c r="F175" s="233"/>
      <c r="G175" s="5"/>
    </row>
    <row r="176" spans="1:7" ht="12.75">
      <c r="A176" s="27"/>
      <c r="B176" s="5"/>
      <c r="C176" s="28"/>
      <c r="D176" s="233"/>
      <c r="E176" s="28"/>
      <c r="F176" s="233"/>
      <c r="G176" s="5"/>
    </row>
    <row r="177" spans="1:7" ht="12.75">
      <c r="A177" s="27"/>
      <c r="B177" s="5"/>
      <c r="C177" s="28"/>
      <c r="D177" s="233"/>
      <c r="E177" s="28"/>
      <c r="F177" s="233"/>
      <c r="G177" s="5"/>
    </row>
    <row r="178" spans="1:7" ht="12.75">
      <c r="A178" s="27"/>
      <c r="B178" s="5"/>
      <c r="C178" s="28"/>
      <c r="D178" s="233"/>
      <c r="E178" s="28"/>
      <c r="F178" s="233"/>
      <c r="G178" s="5"/>
    </row>
    <row r="179" spans="1:7" ht="12.75">
      <c r="A179" s="27"/>
      <c r="B179" s="5"/>
      <c r="C179" s="28"/>
      <c r="D179" s="233"/>
      <c r="E179" s="28"/>
      <c r="F179" s="233"/>
      <c r="G179" s="5"/>
    </row>
    <row r="180" spans="1:7" ht="12.75">
      <c r="A180" s="27"/>
      <c r="B180" s="5"/>
      <c r="C180" s="28"/>
      <c r="D180" s="233"/>
      <c r="E180" s="28"/>
      <c r="F180" s="233"/>
      <c r="G180" s="5"/>
    </row>
    <row r="181" spans="1:7" ht="12.75">
      <c r="A181" s="27"/>
      <c r="B181" s="5"/>
      <c r="C181" s="28"/>
      <c r="D181" s="233"/>
      <c r="E181" s="28"/>
      <c r="F181" s="233"/>
      <c r="G181" s="5"/>
    </row>
    <row r="182" spans="1:7" ht="12.75">
      <c r="A182" s="27"/>
      <c r="B182" s="5"/>
      <c r="C182" s="28"/>
      <c r="D182" s="233"/>
      <c r="E182" s="28"/>
      <c r="F182" s="233"/>
      <c r="G182" s="5"/>
    </row>
    <row r="183" spans="1:7" ht="12.75">
      <c r="A183" s="27"/>
      <c r="B183" s="5"/>
      <c r="C183" s="28"/>
      <c r="D183" s="233"/>
      <c r="E183" s="28"/>
      <c r="F183" s="233"/>
      <c r="G183" s="5"/>
    </row>
    <row r="184" spans="1:7" ht="12.75">
      <c r="A184" s="27"/>
      <c r="B184" s="5"/>
      <c r="C184" s="28"/>
      <c r="D184" s="233"/>
      <c r="E184" s="28"/>
      <c r="F184" s="233"/>
      <c r="G184" s="5"/>
    </row>
    <row r="185" spans="1:7" ht="12.75">
      <c r="A185" s="27"/>
      <c r="B185" s="5"/>
      <c r="C185" s="28"/>
      <c r="D185" s="233"/>
      <c r="E185" s="28"/>
      <c r="F185" s="233"/>
      <c r="G185" s="5"/>
    </row>
    <row r="186" spans="1:7" ht="12.75">
      <c r="A186" s="27"/>
      <c r="B186" s="5"/>
      <c r="C186" s="28"/>
      <c r="D186" s="233"/>
      <c r="E186" s="28"/>
      <c r="F186" s="233"/>
      <c r="G186" s="5"/>
    </row>
    <row r="187" spans="1:7" ht="12.75">
      <c r="A187" s="27"/>
      <c r="B187" s="5"/>
      <c r="C187" s="28"/>
      <c r="D187" s="233"/>
      <c r="E187" s="28"/>
      <c r="F187" s="233"/>
      <c r="G187" s="5"/>
    </row>
    <row r="188" spans="1:7" ht="12.75">
      <c r="A188" s="27"/>
      <c r="B188" s="5"/>
      <c r="C188" s="28"/>
      <c r="D188" s="233"/>
      <c r="E188" s="28"/>
      <c r="F188" s="233"/>
      <c r="G188" s="5"/>
    </row>
    <row r="189" spans="1:7" ht="12.75">
      <c r="A189" s="27"/>
      <c r="B189" s="5"/>
      <c r="C189" s="28"/>
      <c r="D189" s="233"/>
      <c r="E189" s="28"/>
      <c r="F189" s="233"/>
      <c r="G189" s="5"/>
    </row>
    <row r="190" spans="1:7" ht="12.75">
      <c r="A190" s="27"/>
      <c r="B190" s="5"/>
      <c r="C190" s="28"/>
      <c r="D190" s="233"/>
      <c r="E190" s="28"/>
      <c r="F190" s="233"/>
      <c r="G190" s="5"/>
    </row>
    <row r="191" spans="1:7" ht="12.75">
      <c r="A191" s="27"/>
      <c r="B191" s="5"/>
      <c r="C191" s="28"/>
      <c r="D191" s="233"/>
      <c r="E191" s="28"/>
      <c r="F191" s="233"/>
      <c r="G191" s="5"/>
    </row>
    <row r="192" spans="1:7" ht="12.75">
      <c r="A192" s="27"/>
      <c r="B192" s="5"/>
      <c r="C192" s="28"/>
      <c r="D192" s="233"/>
      <c r="E192" s="28"/>
      <c r="F192" s="233"/>
      <c r="G192" s="5"/>
    </row>
    <row r="193" spans="1:7" ht="12.75">
      <c r="A193" s="27"/>
      <c r="B193" s="5"/>
      <c r="C193" s="28"/>
      <c r="D193" s="233"/>
      <c r="E193" s="28"/>
      <c r="F193" s="233"/>
      <c r="G193" s="5"/>
    </row>
    <row r="194" spans="1:7" ht="12.75">
      <c r="A194" s="27"/>
      <c r="B194" s="5"/>
      <c r="C194" s="28"/>
      <c r="D194" s="233"/>
      <c r="E194" s="28"/>
      <c r="F194" s="233"/>
      <c r="G194" s="5"/>
    </row>
    <row r="195" spans="1:7" ht="12.75">
      <c r="A195" s="27"/>
      <c r="B195" s="5"/>
      <c r="C195" s="28"/>
      <c r="D195" s="233"/>
      <c r="E195" s="28"/>
      <c r="F195" s="233"/>
      <c r="G195" s="5"/>
    </row>
    <row r="196" spans="1:7" ht="12.75">
      <c r="A196" s="27"/>
      <c r="B196" s="5"/>
      <c r="C196" s="28"/>
      <c r="D196" s="233"/>
      <c r="E196" s="28"/>
      <c r="F196" s="233"/>
      <c r="G196" s="5"/>
    </row>
    <row r="197" spans="1:7" ht="12.75">
      <c r="A197" s="27"/>
      <c r="B197" s="5"/>
      <c r="C197" s="28"/>
      <c r="D197" s="233"/>
      <c r="E197" s="28"/>
      <c r="F197" s="233"/>
      <c r="G197" s="5"/>
    </row>
    <row r="198" spans="1:7" ht="12.75">
      <c r="A198" s="27"/>
      <c r="B198" s="5"/>
      <c r="C198" s="28"/>
      <c r="D198" s="233"/>
      <c r="E198" s="28"/>
      <c r="F198" s="233"/>
      <c r="G198" s="5"/>
    </row>
    <row r="199" spans="1:7" ht="12.75">
      <c r="A199" s="27"/>
      <c r="B199" s="5"/>
      <c r="C199" s="28"/>
      <c r="D199" s="233"/>
      <c r="E199" s="28"/>
      <c r="F199" s="233"/>
      <c r="G199" s="5"/>
    </row>
    <row r="200" spans="1:7" ht="12.75">
      <c r="A200" s="27"/>
      <c r="B200" s="5"/>
      <c r="C200" s="28"/>
      <c r="D200" s="233"/>
      <c r="E200" s="28"/>
      <c r="F200" s="233"/>
      <c r="G200" s="5"/>
    </row>
    <row r="201" spans="1:7" ht="12.75">
      <c r="A201" s="27"/>
      <c r="B201" s="5"/>
      <c r="C201" s="28"/>
      <c r="D201" s="233"/>
      <c r="E201" s="28"/>
      <c r="F201" s="233"/>
      <c r="G201" s="5"/>
    </row>
    <row r="202" spans="1:7" ht="12.75">
      <c r="A202" s="27"/>
      <c r="B202" s="5"/>
      <c r="C202" s="28"/>
      <c r="D202" s="233"/>
      <c r="E202" s="28"/>
      <c r="F202" s="233"/>
      <c r="G202" s="5"/>
    </row>
    <row r="203" spans="1:7" ht="12.75">
      <c r="A203" s="27"/>
      <c r="B203" s="5"/>
      <c r="C203" s="28"/>
      <c r="D203" s="233"/>
      <c r="E203" s="28"/>
      <c r="F203" s="233"/>
      <c r="G203" s="5"/>
    </row>
    <row r="204" spans="1:7" ht="12.75">
      <c r="A204" s="27"/>
      <c r="B204" s="5"/>
      <c r="C204" s="28"/>
      <c r="D204" s="233"/>
      <c r="E204" s="28"/>
      <c r="F204" s="233"/>
      <c r="G204" s="5"/>
    </row>
    <row r="205" spans="1:7" ht="12.75">
      <c r="A205" s="27"/>
      <c r="B205" s="5"/>
      <c r="C205" s="28"/>
      <c r="D205" s="233"/>
      <c r="E205" s="28"/>
      <c r="F205" s="233"/>
      <c r="G205" s="5"/>
    </row>
    <row r="206" spans="1:7" ht="12.75">
      <c r="A206" s="27"/>
      <c r="B206" s="5"/>
      <c r="C206" s="28"/>
      <c r="D206" s="233"/>
      <c r="E206" s="28"/>
      <c r="F206" s="233"/>
      <c r="G206" s="5"/>
    </row>
    <row r="207" spans="1:7" ht="12.75">
      <c r="A207" s="27"/>
      <c r="B207" s="5"/>
      <c r="C207" s="28"/>
      <c r="D207" s="233"/>
      <c r="E207" s="28"/>
      <c r="F207" s="233"/>
      <c r="G207" s="5"/>
    </row>
    <row r="208" spans="1:7" ht="12.75">
      <c r="A208" s="27"/>
      <c r="B208" s="5"/>
      <c r="C208" s="28"/>
      <c r="D208" s="233"/>
      <c r="E208" s="28"/>
      <c r="F208" s="233"/>
      <c r="G208" s="5"/>
    </row>
    <row r="209" spans="1:7" ht="12.75">
      <c r="A209" s="27"/>
      <c r="B209" s="5"/>
      <c r="C209" s="28"/>
      <c r="D209" s="233"/>
      <c r="E209" s="28"/>
      <c r="F209" s="233"/>
      <c r="G209" s="5"/>
    </row>
    <row r="210" spans="1:7" ht="12.75">
      <c r="A210" s="27"/>
      <c r="B210" s="5"/>
      <c r="C210" s="28"/>
      <c r="D210" s="233"/>
      <c r="E210" s="28"/>
      <c r="F210" s="233"/>
      <c r="G210" s="5"/>
    </row>
    <row r="211" spans="1:7" ht="12.75">
      <c r="A211" s="27"/>
      <c r="B211" s="5"/>
      <c r="C211" s="28"/>
      <c r="D211" s="233"/>
      <c r="E211" s="28"/>
      <c r="F211" s="233"/>
      <c r="G211" s="5"/>
    </row>
    <row r="212" spans="1:7" ht="12.75">
      <c r="A212" s="27"/>
      <c r="B212" s="5"/>
      <c r="C212" s="28"/>
      <c r="D212" s="233"/>
      <c r="E212" s="28"/>
      <c r="F212" s="233"/>
      <c r="G212" s="5"/>
    </row>
    <row r="213" spans="1:7" ht="12.75">
      <c r="A213" s="27"/>
      <c r="B213" s="5"/>
      <c r="C213" s="28"/>
      <c r="D213" s="233"/>
      <c r="E213" s="28"/>
      <c r="F213" s="233"/>
      <c r="G213" s="5"/>
    </row>
    <row r="214" spans="1:7" ht="12.75">
      <c r="A214" s="27"/>
      <c r="B214" s="5"/>
      <c r="C214" s="28"/>
      <c r="D214" s="233"/>
      <c r="E214" s="28"/>
      <c r="F214" s="233"/>
      <c r="G214" s="5"/>
    </row>
    <row r="215" spans="1:7" ht="12.75">
      <c r="A215" s="27"/>
      <c r="B215" s="5"/>
      <c r="C215" s="28"/>
      <c r="D215" s="233"/>
      <c r="E215" s="28"/>
      <c r="F215" s="233"/>
      <c r="G215" s="5"/>
    </row>
    <row r="216" spans="1:7" ht="12.75">
      <c r="A216" s="27"/>
      <c r="B216" s="5"/>
      <c r="C216" s="28"/>
      <c r="D216" s="233"/>
      <c r="E216" s="28"/>
      <c r="F216" s="233"/>
      <c r="G216" s="5"/>
    </row>
    <row r="217" spans="1:7" ht="12.75">
      <c r="A217" s="27"/>
      <c r="B217" s="5"/>
      <c r="C217" s="28"/>
      <c r="D217" s="233"/>
      <c r="E217" s="28"/>
      <c r="F217" s="233"/>
      <c r="G217" s="5"/>
    </row>
    <row r="218" spans="1:7" ht="12.75">
      <c r="A218" s="27"/>
      <c r="B218" s="5"/>
      <c r="C218" s="28"/>
      <c r="D218" s="233"/>
      <c r="E218" s="28"/>
      <c r="F218" s="233"/>
      <c r="G218" s="5"/>
    </row>
    <row r="219" spans="1:7" ht="12.75">
      <c r="A219" s="27"/>
      <c r="B219" s="5"/>
      <c r="C219" s="28"/>
      <c r="D219" s="233"/>
      <c r="E219" s="28"/>
      <c r="F219" s="233"/>
      <c r="G219" s="5"/>
    </row>
    <row r="220" spans="1:7" ht="12.75">
      <c r="A220" s="27"/>
      <c r="B220" s="5"/>
      <c r="C220" s="28"/>
      <c r="D220" s="233"/>
      <c r="E220" s="28"/>
      <c r="F220" s="233"/>
      <c r="G220" s="5"/>
    </row>
    <row r="221" spans="1:7" ht="12.75">
      <c r="A221" s="27"/>
      <c r="B221" s="5"/>
      <c r="C221" s="28"/>
      <c r="D221" s="233"/>
      <c r="E221" s="28"/>
      <c r="F221" s="233"/>
      <c r="G221" s="5"/>
    </row>
    <row r="222" spans="1:7" ht="12.75">
      <c r="A222" s="27"/>
      <c r="B222" s="5"/>
      <c r="C222" s="28"/>
      <c r="D222" s="233"/>
      <c r="E222" s="28"/>
      <c r="F222" s="233"/>
      <c r="G222" s="5"/>
    </row>
    <row r="223" spans="1:7" ht="12.75">
      <c r="A223" s="27"/>
      <c r="B223" s="5"/>
      <c r="C223" s="28"/>
      <c r="D223" s="233"/>
      <c r="E223" s="28"/>
      <c r="F223" s="233"/>
      <c r="G223" s="5"/>
    </row>
    <row r="224" spans="1:7" ht="12.75">
      <c r="A224" s="27"/>
      <c r="B224" s="5"/>
      <c r="C224" s="28"/>
      <c r="D224" s="233"/>
      <c r="E224" s="28"/>
      <c r="F224" s="233"/>
      <c r="G224" s="5"/>
    </row>
    <row r="225" spans="1:7" ht="12.75">
      <c r="A225" s="27"/>
      <c r="B225" s="5"/>
      <c r="C225" s="28"/>
      <c r="D225" s="233"/>
      <c r="E225" s="28"/>
      <c r="F225" s="233"/>
      <c r="G225" s="5"/>
    </row>
    <row r="226" spans="1:7" ht="12.75">
      <c r="A226" s="27"/>
      <c r="B226" s="5"/>
      <c r="C226" s="28"/>
      <c r="D226" s="233"/>
      <c r="E226" s="28"/>
      <c r="F226" s="233"/>
      <c r="G226" s="5"/>
    </row>
    <row r="227" spans="1:7" ht="12.75">
      <c r="A227" s="27"/>
      <c r="B227" s="5"/>
      <c r="C227" s="28"/>
      <c r="D227" s="233"/>
      <c r="E227" s="28"/>
      <c r="F227" s="233"/>
      <c r="G227" s="5"/>
    </row>
    <row r="228" spans="1:7" ht="12.75">
      <c r="A228" s="27"/>
      <c r="B228" s="5"/>
      <c r="C228" s="28"/>
      <c r="D228" s="233"/>
      <c r="E228" s="28"/>
      <c r="F228" s="233"/>
      <c r="G228" s="5"/>
    </row>
    <row r="229" spans="1:7" ht="12.75">
      <c r="A229" s="27"/>
      <c r="B229" s="5"/>
      <c r="C229" s="28"/>
      <c r="D229" s="233"/>
      <c r="E229" s="28"/>
      <c r="F229" s="233"/>
      <c r="G229" s="5"/>
    </row>
    <row r="230" spans="1:7" ht="12.75">
      <c r="A230" s="27"/>
      <c r="B230" s="5"/>
      <c r="C230" s="28"/>
      <c r="D230" s="233"/>
      <c r="E230" s="28"/>
      <c r="F230" s="233"/>
      <c r="G230" s="5"/>
    </row>
    <row r="231" spans="1:7" ht="12.75">
      <c r="A231" s="27"/>
      <c r="B231" s="5"/>
      <c r="C231" s="28"/>
      <c r="D231" s="233"/>
      <c r="E231" s="28"/>
      <c r="F231" s="233"/>
      <c r="G231" s="5"/>
    </row>
    <row r="232" spans="1:7" ht="12.75">
      <c r="A232" s="27"/>
      <c r="B232" s="5"/>
      <c r="C232" s="28"/>
      <c r="D232" s="233"/>
      <c r="E232" s="28"/>
      <c r="F232" s="233"/>
      <c r="G232" s="5"/>
    </row>
    <row r="233" spans="1:7" ht="12.75">
      <c r="A233" s="27"/>
      <c r="B233" s="5"/>
      <c r="C233" s="28"/>
      <c r="D233" s="233"/>
      <c r="E233" s="28"/>
      <c r="F233" s="233"/>
      <c r="G233" s="5"/>
    </row>
    <row r="234" spans="1:7" ht="12.75">
      <c r="A234" s="27"/>
      <c r="B234" s="5"/>
      <c r="C234" s="28"/>
      <c r="D234" s="233"/>
      <c r="E234" s="28"/>
      <c r="F234" s="233"/>
      <c r="G234" s="5"/>
    </row>
    <row r="235" spans="1:7" ht="12.75">
      <c r="A235" s="27"/>
      <c r="B235" s="5"/>
      <c r="C235" s="28"/>
      <c r="D235" s="233"/>
      <c r="E235" s="28"/>
      <c r="F235" s="233"/>
      <c r="G235" s="5"/>
    </row>
    <row r="236" spans="1:7" ht="12.75">
      <c r="A236" s="27"/>
      <c r="B236" s="5"/>
      <c r="C236" s="28"/>
      <c r="D236" s="233"/>
      <c r="E236" s="28"/>
      <c r="F236" s="233"/>
      <c r="G236" s="5"/>
    </row>
    <row r="237" spans="1:7" ht="12.75">
      <c r="A237" s="27"/>
      <c r="B237" s="5"/>
      <c r="C237" s="28"/>
      <c r="D237" s="233"/>
      <c r="E237" s="28"/>
      <c r="F237" s="233"/>
      <c r="G237" s="5"/>
    </row>
    <row r="238" spans="1:7" ht="12.75">
      <c r="A238" s="27"/>
      <c r="B238" s="5"/>
      <c r="C238" s="28"/>
      <c r="D238" s="233"/>
      <c r="E238" s="28"/>
      <c r="F238" s="233"/>
      <c r="G238" s="5"/>
    </row>
    <row r="239" spans="1:7" ht="12.75">
      <c r="A239" s="27"/>
      <c r="B239" s="5"/>
      <c r="C239" s="28"/>
      <c r="D239" s="233"/>
      <c r="E239" s="28"/>
      <c r="F239" s="233"/>
      <c r="G239" s="5"/>
    </row>
    <row r="240" spans="1:7" ht="12.75">
      <c r="A240" s="27"/>
      <c r="B240" s="5"/>
      <c r="C240" s="28"/>
      <c r="D240" s="233"/>
      <c r="E240" s="28"/>
      <c r="F240" s="233"/>
      <c r="G240" s="5"/>
    </row>
    <row r="241" spans="1:7" ht="12.75">
      <c r="A241" s="27"/>
      <c r="B241" s="5"/>
      <c r="C241" s="28"/>
      <c r="D241" s="233"/>
      <c r="E241" s="28"/>
      <c r="F241" s="233"/>
      <c r="G241" s="5"/>
    </row>
    <row r="242" spans="1:7" ht="12.75">
      <c r="A242" s="27"/>
      <c r="B242" s="5"/>
      <c r="C242" s="28"/>
      <c r="D242" s="233"/>
      <c r="E242" s="28"/>
      <c r="F242" s="233"/>
      <c r="G242" s="5"/>
    </row>
    <row r="243" spans="1:7" ht="12.75">
      <c r="A243" s="27"/>
      <c r="B243" s="5"/>
      <c r="C243" s="28"/>
      <c r="D243" s="233"/>
      <c r="E243" s="28"/>
      <c r="F243" s="233"/>
      <c r="G243" s="5"/>
    </row>
    <row r="244" spans="1:7" ht="12.75">
      <c r="A244" s="27"/>
      <c r="B244" s="5"/>
      <c r="C244" s="28"/>
      <c r="D244" s="233"/>
      <c r="E244" s="28"/>
      <c r="F244" s="233"/>
      <c r="G244" s="5"/>
    </row>
    <row r="245" spans="1:7" ht="12.75">
      <c r="A245" s="27"/>
      <c r="B245" s="5"/>
      <c r="C245" s="28"/>
      <c r="D245" s="233"/>
      <c r="E245" s="28"/>
      <c r="F245" s="233"/>
      <c r="G245" s="5"/>
    </row>
    <row r="246" spans="1:7" ht="12.75">
      <c r="A246" s="27"/>
      <c r="B246" s="5"/>
      <c r="C246" s="28"/>
      <c r="D246" s="233"/>
      <c r="E246" s="28"/>
      <c r="F246" s="233"/>
      <c r="G246" s="5"/>
    </row>
    <row r="247" spans="1:7" ht="12.75">
      <c r="A247" s="27"/>
      <c r="B247" s="5"/>
      <c r="C247" s="28"/>
      <c r="D247" s="233"/>
      <c r="E247" s="28"/>
      <c r="F247" s="233"/>
      <c r="G247" s="5"/>
    </row>
    <row r="248" spans="1:7" ht="12.75">
      <c r="A248" s="27"/>
      <c r="B248" s="5"/>
      <c r="C248" s="28"/>
      <c r="D248" s="233"/>
      <c r="E248" s="28"/>
      <c r="F248" s="233"/>
      <c r="G248" s="5"/>
    </row>
  </sheetData>
  <mergeCells count="1">
    <mergeCell ref="B69:G69"/>
  </mergeCells>
  <printOptions/>
  <pageMargins left="0.75" right="0.75" top="0.75" bottom="0.71" header="0.5" footer="0.5"/>
  <pageSetup horizontalDpi="300" verticalDpi="300" orientation="landscape" paperSize="9" r:id="rId2"/>
  <headerFooter alignWithMargins="0">
    <oddHeader>&amp;LDate : &amp;D&amp;RFilename : g:\rivops\state\allocatn\&amp;F</oddHeader>
    <oddFooter>&amp;CPage &amp;P</oddFooter>
  </headerFooter>
  <drawing r:id="rId1"/>
</worksheet>
</file>

<file path=xl/worksheets/sheet9.xml><?xml version="1.0" encoding="utf-8"?>
<worksheet xmlns="http://schemas.openxmlformats.org/spreadsheetml/2006/main" xmlns:r="http://schemas.openxmlformats.org/officeDocument/2006/relationships">
  <dimension ref="A1:H40"/>
  <sheetViews>
    <sheetView showGridLines="0" workbookViewId="0" topLeftCell="A1">
      <selection activeCell="A1" sqref="A1"/>
    </sheetView>
  </sheetViews>
  <sheetFormatPr defaultColWidth="9.140625" defaultRowHeight="12.75"/>
  <cols>
    <col min="1" max="1" width="9.140625" style="27" customWidth="1"/>
    <col min="2" max="2" width="10.140625" style="5" customWidth="1"/>
    <col min="3" max="3" width="10.00390625" style="28" customWidth="1"/>
    <col min="4" max="4" width="11.00390625" style="160" customWidth="1"/>
    <col min="5" max="5" width="11.421875" style="28" customWidth="1"/>
    <col min="6" max="6" width="11.28125" style="160" customWidth="1"/>
    <col min="7" max="7" width="15.140625" style="5" bestFit="1" customWidth="1"/>
    <col min="8" max="8" width="54.140625" style="5" customWidth="1"/>
    <col min="9" max="17" width="9.140625" style="5" customWidth="1"/>
    <col min="18" max="18" width="10.57421875" style="5" bestFit="1" customWidth="1"/>
    <col min="19" max="16384" width="9.140625" style="5" customWidth="1"/>
  </cols>
  <sheetData>
    <row r="1" spans="1:8" ht="24" customHeight="1" thickBot="1">
      <c r="A1" s="36" t="s">
        <v>140</v>
      </c>
      <c r="B1" s="2"/>
      <c r="C1" s="22"/>
      <c r="D1" s="183"/>
      <c r="E1" s="22"/>
      <c r="F1" s="183"/>
      <c r="G1" s="2"/>
      <c r="H1" s="3"/>
    </row>
    <row r="2" spans="1:8" ht="15.75" customHeight="1" thickBot="1">
      <c r="A2" s="29" t="s">
        <v>80</v>
      </c>
      <c r="B2" s="33"/>
      <c r="C2" s="34"/>
      <c r="D2" s="184"/>
      <c r="E2" s="34"/>
      <c r="F2" s="184"/>
      <c r="G2" s="33"/>
      <c r="H2" s="38" t="s">
        <v>81</v>
      </c>
    </row>
    <row r="3" spans="1:8" ht="126" customHeight="1" thickBot="1">
      <c r="A3" s="6"/>
      <c r="B3" s="2"/>
      <c r="C3" s="22"/>
      <c r="D3" s="183"/>
      <c r="E3" s="22"/>
      <c r="F3" s="183"/>
      <c r="G3" s="2"/>
      <c r="H3" s="3"/>
    </row>
    <row r="4" spans="1:8" ht="15.75" customHeight="1" thickBot="1">
      <c r="A4" s="29" t="s">
        <v>29</v>
      </c>
      <c r="B4" s="33"/>
      <c r="C4" s="34"/>
      <c r="D4" s="184"/>
      <c r="E4" s="34"/>
      <c r="F4" s="184"/>
      <c r="G4" s="33"/>
      <c r="H4" s="38"/>
    </row>
    <row r="5" spans="1:8" ht="24">
      <c r="A5" s="39"/>
      <c r="B5" s="40" t="s">
        <v>83</v>
      </c>
      <c r="C5" s="41" t="s">
        <v>84</v>
      </c>
      <c r="D5" s="185" t="s">
        <v>85</v>
      </c>
      <c r="E5" s="51" t="s">
        <v>213</v>
      </c>
      <c r="F5" s="188"/>
      <c r="G5" s="42" t="s">
        <v>86</v>
      </c>
      <c r="H5" s="43"/>
    </row>
    <row r="6" spans="1:8" ht="23.25" customHeight="1" thickBot="1">
      <c r="A6" s="44" t="s">
        <v>87</v>
      </c>
      <c r="B6" s="45" t="s">
        <v>86</v>
      </c>
      <c r="C6" s="46" t="s">
        <v>86</v>
      </c>
      <c r="D6" s="186" t="s">
        <v>88</v>
      </c>
      <c r="E6" s="49" t="s">
        <v>214</v>
      </c>
      <c r="F6" s="189" t="s">
        <v>215</v>
      </c>
      <c r="G6" s="47" t="s">
        <v>89</v>
      </c>
      <c r="H6" s="48" t="s">
        <v>90</v>
      </c>
    </row>
    <row r="7" spans="1:8" ht="15.75" customHeight="1" thickBot="1">
      <c r="A7" s="74" t="s">
        <v>141</v>
      </c>
      <c r="B7" s="75">
        <v>29663</v>
      </c>
      <c r="C7" s="76">
        <v>33</v>
      </c>
      <c r="D7" s="144">
        <v>0</v>
      </c>
      <c r="E7" s="76"/>
      <c r="F7" s="144"/>
      <c r="G7" s="78" t="s">
        <v>92</v>
      </c>
      <c r="H7" s="79" t="s">
        <v>142</v>
      </c>
    </row>
    <row r="8" spans="1:8" ht="15.75" customHeight="1">
      <c r="A8" s="56" t="s">
        <v>91</v>
      </c>
      <c r="B8" s="57">
        <v>29768</v>
      </c>
      <c r="C8" s="58">
        <v>33</v>
      </c>
      <c r="D8" s="141">
        <v>0</v>
      </c>
      <c r="E8" s="58"/>
      <c r="F8" s="141"/>
      <c r="G8" s="60" t="s">
        <v>92</v>
      </c>
      <c r="H8" s="61" t="s">
        <v>143</v>
      </c>
    </row>
    <row r="9" spans="1:8" ht="15.75" customHeight="1">
      <c r="A9" s="62"/>
      <c r="B9" s="63">
        <v>29819</v>
      </c>
      <c r="C9" s="64">
        <v>55</v>
      </c>
      <c r="D9" s="130">
        <v>0</v>
      </c>
      <c r="E9" s="64"/>
      <c r="F9" s="130"/>
      <c r="G9" s="66" t="s">
        <v>92</v>
      </c>
      <c r="H9" s="67" t="s">
        <v>144</v>
      </c>
    </row>
    <row r="10" spans="1:8" ht="15.75" customHeight="1">
      <c r="A10" s="62"/>
      <c r="B10" s="63">
        <v>29898</v>
      </c>
      <c r="C10" s="64">
        <v>65</v>
      </c>
      <c r="D10" s="130">
        <v>0</v>
      </c>
      <c r="E10" s="64"/>
      <c r="F10" s="130"/>
      <c r="G10" s="66" t="s">
        <v>92</v>
      </c>
      <c r="H10" s="67"/>
    </row>
    <row r="11" spans="1:8" ht="15.75" customHeight="1" thickBot="1">
      <c r="A11" s="62"/>
      <c r="B11" s="63">
        <v>29927</v>
      </c>
      <c r="C11" s="64">
        <v>80</v>
      </c>
      <c r="D11" s="130">
        <v>0</v>
      </c>
      <c r="E11" s="70"/>
      <c r="F11" s="143"/>
      <c r="G11" s="72" t="s">
        <v>92</v>
      </c>
      <c r="H11" s="73"/>
    </row>
    <row r="12" spans="1:8" ht="15.75" customHeight="1" thickBot="1">
      <c r="A12" s="56" t="s">
        <v>93</v>
      </c>
      <c r="B12" s="57">
        <v>30148</v>
      </c>
      <c r="C12" s="58">
        <v>15</v>
      </c>
      <c r="D12" s="141">
        <v>0</v>
      </c>
      <c r="E12" s="58"/>
      <c r="F12" s="141"/>
      <c r="G12" s="60" t="s">
        <v>92</v>
      </c>
      <c r="H12" s="61"/>
    </row>
    <row r="13" spans="1:8" ht="15.75" customHeight="1">
      <c r="A13" s="56" t="s">
        <v>95</v>
      </c>
      <c r="B13" s="57">
        <v>30502</v>
      </c>
      <c r="C13" s="58">
        <v>35</v>
      </c>
      <c r="D13" s="141">
        <v>0</v>
      </c>
      <c r="E13" s="58"/>
      <c r="F13" s="141"/>
      <c r="G13" s="60" t="s">
        <v>92</v>
      </c>
      <c r="H13" s="61"/>
    </row>
    <row r="14" spans="1:8" ht="15.75" customHeight="1">
      <c r="A14" s="62"/>
      <c r="B14" s="63">
        <v>30538</v>
      </c>
      <c r="C14" s="64">
        <v>50</v>
      </c>
      <c r="D14" s="130">
        <v>0</v>
      </c>
      <c r="E14" s="64"/>
      <c r="F14" s="130"/>
      <c r="G14" s="66" t="s">
        <v>92</v>
      </c>
      <c r="H14" s="67"/>
    </row>
    <row r="15" spans="1:8" ht="15.75" customHeight="1">
      <c r="A15" s="62"/>
      <c r="B15" s="63">
        <v>30573</v>
      </c>
      <c r="C15" s="64">
        <v>85</v>
      </c>
      <c r="D15" s="130">
        <v>0</v>
      </c>
      <c r="E15" s="64"/>
      <c r="F15" s="130"/>
      <c r="G15" s="66" t="s">
        <v>92</v>
      </c>
      <c r="H15" s="67"/>
    </row>
    <row r="16" spans="1:8" ht="15.75" customHeight="1" thickBot="1">
      <c r="A16" s="68"/>
      <c r="B16" s="69">
        <v>30600</v>
      </c>
      <c r="C16" s="70">
        <v>100</v>
      </c>
      <c r="D16" s="143">
        <v>0</v>
      </c>
      <c r="E16" s="70"/>
      <c r="F16" s="143"/>
      <c r="G16" s="72" t="s">
        <v>92</v>
      </c>
      <c r="H16" s="73"/>
    </row>
    <row r="17" spans="1:8" ht="15.75" customHeight="1" thickBot="1">
      <c r="A17" s="56" t="s">
        <v>96</v>
      </c>
      <c r="B17" s="57">
        <v>30872</v>
      </c>
      <c r="C17" s="58">
        <v>100</v>
      </c>
      <c r="D17" s="141">
        <v>0</v>
      </c>
      <c r="E17" s="58"/>
      <c r="F17" s="141"/>
      <c r="G17" s="60" t="s">
        <v>92</v>
      </c>
      <c r="H17" s="61"/>
    </row>
    <row r="18" spans="1:8" ht="15.75" customHeight="1" thickBot="1">
      <c r="A18" s="74" t="s">
        <v>97</v>
      </c>
      <c r="B18" s="75">
        <v>31250</v>
      </c>
      <c r="C18" s="76">
        <v>100</v>
      </c>
      <c r="D18" s="144">
        <v>0</v>
      </c>
      <c r="E18" s="76"/>
      <c r="F18" s="144"/>
      <c r="G18" s="78" t="s">
        <v>92</v>
      </c>
      <c r="H18" s="79"/>
    </row>
    <row r="19" spans="1:8" ht="15.75" customHeight="1" thickBot="1">
      <c r="A19" s="56" t="s">
        <v>98</v>
      </c>
      <c r="B19" s="57">
        <v>31636</v>
      </c>
      <c r="C19" s="58">
        <v>85</v>
      </c>
      <c r="D19" s="141">
        <v>0</v>
      </c>
      <c r="E19" s="58"/>
      <c r="F19" s="141"/>
      <c r="G19" s="60" t="s">
        <v>92</v>
      </c>
      <c r="H19" s="61"/>
    </row>
    <row r="20" spans="1:8" ht="15.75" customHeight="1">
      <c r="A20" s="56" t="s">
        <v>99</v>
      </c>
      <c r="B20" s="57">
        <v>32031</v>
      </c>
      <c r="C20" s="58">
        <v>12</v>
      </c>
      <c r="D20" s="141">
        <v>0</v>
      </c>
      <c r="E20" s="58"/>
      <c r="F20" s="141"/>
      <c r="G20" s="60" t="s">
        <v>92</v>
      </c>
      <c r="H20" s="61" t="s">
        <v>145</v>
      </c>
    </row>
    <row r="21" spans="1:8" ht="15.75" customHeight="1">
      <c r="A21" s="62"/>
      <c r="B21" s="63">
        <v>32122</v>
      </c>
      <c r="C21" s="64">
        <v>17</v>
      </c>
      <c r="D21" s="130">
        <v>0</v>
      </c>
      <c r="E21" s="64"/>
      <c r="F21" s="130"/>
      <c r="G21" s="66" t="s">
        <v>92</v>
      </c>
      <c r="H21" s="67"/>
    </row>
    <row r="22" spans="1:8" ht="15.75" customHeight="1">
      <c r="A22" s="62"/>
      <c r="B22" s="63">
        <v>32147</v>
      </c>
      <c r="C22" s="64">
        <v>20</v>
      </c>
      <c r="D22" s="130">
        <v>0</v>
      </c>
      <c r="E22" s="64"/>
      <c r="F22" s="130"/>
      <c r="G22" s="66" t="s">
        <v>92</v>
      </c>
      <c r="H22" s="67"/>
    </row>
    <row r="23" spans="1:8" ht="15.75" customHeight="1" thickBot="1">
      <c r="A23" s="68"/>
      <c r="B23" s="69">
        <v>32174</v>
      </c>
      <c r="C23" s="70">
        <v>23</v>
      </c>
      <c r="D23" s="143">
        <v>0</v>
      </c>
      <c r="E23" s="70"/>
      <c r="F23" s="143"/>
      <c r="G23" s="72" t="s">
        <v>92</v>
      </c>
      <c r="H23" s="73"/>
    </row>
    <row r="24" spans="1:8" ht="15.75" customHeight="1">
      <c r="A24" s="56" t="s">
        <v>100</v>
      </c>
      <c r="B24" s="57">
        <v>32409</v>
      </c>
      <c r="C24" s="58">
        <v>33</v>
      </c>
      <c r="D24" s="141">
        <v>0</v>
      </c>
      <c r="E24" s="58"/>
      <c r="F24" s="141"/>
      <c r="G24" s="60" t="s">
        <v>92</v>
      </c>
      <c r="H24" s="61"/>
    </row>
    <row r="25" spans="1:8" ht="15.75" customHeight="1" thickBot="1">
      <c r="A25" s="68"/>
      <c r="B25" s="69">
        <v>32429</v>
      </c>
      <c r="C25" s="70">
        <v>35</v>
      </c>
      <c r="D25" s="143">
        <v>0</v>
      </c>
      <c r="E25" s="70"/>
      <c r="F25" s="143"/>
      <c r="G25" s="72" t="s">
        <v>92</v>
      </c>
      <c r="H25" s="73" t="s">
        <v>146</v>
      </c>
    </row>
    <row r="26" spans="1:8" ht="15.75" customHeight="1">
      <c r="A26" s="56" t="s">
        <v>101</v>
      </c>
      <c r="B26" s="57">
        <v>32736</v>
      </c>
      <c r="C26" s="58">
        <v>20</v>
      </c>
      <c r="D26" s="141">
        <v>0</v>
      </c>
      <c r="E26" s="58"/>
      <c r="F26" s="141"/>
      <c r="G26" s="60" t="s">
        <v>92</v>
      </c>
      <c r="H26" s="61"/>
    </row>
    <row r="27" spans="1:8" ht="15.75" customHeight="1" thickBot="1">
      <c r="A27" s="68"/>
      <c r="B27" s="69">
        <v>32885</v>
      </c>
      <c r="C27" s="70">
        <v>22</v>
      </c>
      <c r="D27" s="143">
        <v>0</v>
      </c>
      <c r="E27" s="70"/>
      <c r="F27" s="143"/>
      <c r="G27" s="72" t="s">
        <v>92</v>
      </c>
      <c r="H27" s="73" t="s">
        <v>146</v>
      </c>
    </row>
    <row r="28" spans="1:8" ht="15.75" customHeight="1">
      <c r="A28" s="56" t="s">
        <v>102</v>
      </c>
      <c r="B28" s="57">
        <v>33105</v>
      </c>
      <c r="C28" s="58">
        <v>60</v>
      </c>
      <c r="D28" s="141">
        <v>0</v>
      </c>
      <c r="E28" s="58"/>
      <c r="F28" s="141"/>
      <c r="G28" s="60" t="s">
        <v>92</v>
      </c>
      <c r="H28" s="61"/>
    </row>
    <row r="29" spans="1:8" ht="15.75" customHeight="1" thickBot="1">
      <c r="A29" s="68"/>
      <c r="B29" s="69">
        <v>33206</v>
      </c>
      <c r="C29" s="70">
        <v>80</v>
      </c>
      <c r="D29" s="143">
        <v>0</v>
      </c>
      <c r="E29" s="70"/>
      <c r="F29" s="143"/>
      <c r="G29" s="72" t="s">
        <v>92</v>
      </c>
      <c r="H29" s="73" t="s">
        <v>146</v>
      </c>
    </row>
    <row r="30" spans="1:8" ht="15.75" customHeight="1" thickBot="1">
      <c r="A30" s="74" t="s">
        <v>103</v>
      </c>
      <c r="B30" s="75">
        <v>33499</v>
      </c>
      <c r="C30" s="76">
        <v>35</v>
      </c>
      <c r="D30" s="144">
        <v>0</v>
      </c>
      <c r="E30" s="76"/>
      <c r="F30" s="144"/>
      <c r="G30" s="78" t="s">
        <v>104</v>
      </c>
      <c r="H30" s="79" t="s">
        <v>147</v>
      </c>
    </row>
    <row r="31" spans="1:8" ht="15.75" customHeight="1">
      <c r="A31" s="56" t="s">
        <v>105</v>
      </c>
      <c r="B31" s="57">
        <v>33891</v>
      </c>
      <c r="C31" s="58">
        <v>0</v>
      </c>
      <c r="D31" s="141">
        <v>0</v>
      </c>
      <c r="E31" s="58"/>
      <c r="F31" s="141"/>
      <c r="G31" s="60" t="s">
        <v>104</v>
      </c>
      <c r="H31" s="61"/>
    </row>
    <row r="32" spans="1:8" ht="15.75" customHeight="1" thickBot="1">
      <c r="A32" s="68"/>
      <c r="B32" s="69">
        <v>33961</v>
      </c>
      <c r="C32" s="70">
        <v>5</v>
      </c>
      <c r="D32" s="143">
        <v>0</v>
      </c>
      <c r="E32" s="70"/>
      <c r="F32" s="143"/>
      <c r="G32" s="72" t="s">
        <v>104</v>
      </c>
      <c r="H32" s="73" t="s">
        <v>148</v>
      </c>
    </row>
    <row r="33" spans="1:8" ht="15.75" customHeight="1" thickBot="1">
      <c r="A33" s="74" t="s">
        <v>106</v>
      </c>
      <c r="B33" s="75">
        <v>34243</v>
      </c>
      <c r="C33" s="76">
        <v>0</v>
      </c>
      <c r="D33" s="144">
        <v>0</v>
      </c>
      <c r="E33" s="76"/>
      <c r="F33" s="144"/>
      <c r="G33" s="78" t="s">
        <v>104</v>
      </c>
      <c r="H33" s="79"/>
    </row>
    <row r="34" spans="1:8" ht="15.75" customHeight="1" thickBot="1">
      <c r="A34" s="74" t="s">
        <v>108</v>
      </c>
      <c r="B34" s="75">
        <v>34607</v>
      </c>
      <c r="C34" s="76">
        <v>0</v>
      </c>
      <c r="D34" s="144">
        <v>0</v>
      </c>
      <c r="E34" s="76"/>
      <c r="F34" s="144"/>
      <c r="G34" s="78" t="s">
        <v>104</v>
      </c>
      <c r="H34" s="79"/>
    </row>
    <row r="35" spans="1:8" ht="15.75" customHeight="1">
      <c r="A35" s="56" t="s">
        <v>109</v>
      </c>
      <c r="B35" s="57">
        <v>34973</v>
      </c>
      <c r="C35" s="58">
        <v>0</v>
      </c>
      <c r="D35" s="141">
        <v>0</v>
      </c>
      <c r="E35" s="58"/>
      <c r="F35" s="141"/>
      <c r="G35" s="60" t="s">
        <v>104</v>
      </c>
      <c r="H35" s="61"/>
    </row>
    <row r="36" spans="1:8" ht="15.75" customHeight="1">
      <c r="A36" s="62"/>
      <c r="B36" s="63">
        <v>35034</v>
      </c>
      <c r="C36" s="64">
        <v>10</v>
      </c>
      <c r="D36" s="130">
        <v>0</v>
      </c>
      <c r="E36" s="64"/>
      <c r="F36" s="130"/>
      <c r="G36" s="66" t="s">
        <v>104</v>
      </c>
      <c r="H36" s="67"/>
    </row>
    <row r="37" spans="1:8" ht="15.75" customHeight="1" thickBot="1">
      <c r="A37" s="68"/>
      <c r="B37" s="69">
        <v>35055</v>
      </c>
      <c r="C37" s="70">
        <v>18</v>
      </c>
      <c r="D37" s="143">
        <v>0</v>
      </c>
      <c r="E37" s="70"/>
      <c r="F37" s="143"/>
      <c r="G37" s="72" t="s">
        <v>104</v>
      </c>
      <c r="H37" s="73"/>
    </row>
    <row r="38" spans="1:8" ht="15.75" customHeight="1" thickBot="1">
      <c r="A38" s="74" t="s">
        <v>110</v>
      </c>
      <c r="B38" s="75">
        <v>35410</v>
      </c>
      <c r="C38" s="76">
        <v>75</v>
      </c>
      <c r="D38" s="144">
        <v>0</v>
      </c>
      <c r="E38" s="76"/>
      <c r="F38" s="144">
        <v>0.3</v>
      </c>
      <c r="G38" s="78" t="s">
        <v>104</v>
      </c>
      <c r="H38" s="79"/>
    </row>
    <row r="39" spans="1:8" ht="15.75" customHeight="1">
      <c r="A39" s="62" t="s">
        <v>112</v>
      </c>
      <c r="B39" s="63">
        <v>35727</v>
      </c>
      <c r="C39" s="107">
        <v>0.82</v>
      </c>
      <c r="D39" s="130"/>
      <c r="E39" s="64"/>
      <c r="F39" s="130"/>
      <c r="G39" s="66" t="s">
        <v>132</v>
      </c>
      <c r="H39" s="67" t="s">
        <v>149</v>
      </c>
    </row>
    <row r="40" spans="1:8" ht="15.75" customHeight="1" thickBot="1">
      <c r="A40" s="68"/>
      <c r="B40" s="69"/>
      <c r="C40" s="70"/>
      <c r="D40" s="143"/>
      <c r="E40" s="70"/>
      <c r="F40" s="143"/>
      <c r="G40" s="72"/>
      <c r="H40" s="73" t="s">
        <v>150</v>
      </c>
    </row>
    <row r="41" ht="15.75" customHeight="1"/>
    <row r="42" ht="33.75" customHeight="1"/>
    <row r="43" ht="76.5" customHeight="1"/>
    <row r="44" ht="14.25" customHeight="1"/>
    <row r="45" ht="14.25" customHeight="1"/>
    <row r="46" ht="14.25" customHeight="1"/>
    <row r="47" ht="14.25" customHeight="1"/>
    <row r="48" ht="14.25" customHeight="1"/>
    <row r="50" ht="27" customHeight="1"/>
  </sheetData>
  <printOptions/>
  <pageMargins left="0.75" right="0.75" top="0.75" bottom="0.71" header="0.5" footer="0.5"/>
  <pageSetup horizontalDpi="300" verticalDpi="300" orientation="landscape" paperSize="9" r:id="rId2"/>
  <headerFooter alignWithMargins="0">
    <oddHeader>&amp;LDate : &amp;D&amp;RFilename : g:\rivops\state\allocatn\&amp;F</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Allocation History</dc:title>
  <dc:subject>NSW Water Information</dc:subject>
  <dc:creator/>
  <cp:keywords/>
  <dc:description/>
  <cp:lastModifiedBy>Mark Burrell</cp:lastModifiedBy>
  <cp:lastPrinted>2009-03-12T01:03:28Z</cp:lastPrinted>
  <dcterms:created xsi:type="dcterms:W3CDTF">1999-10-05T06:41:16Z</dcterms:created>
  <dcterms:modified xsi:type="dcterms:W3CDTF">2014-08-18T05:32:34Z</dcterms:modified>
  <cp:category/>
  <cp:version/>
  <cp:contentType/>
  <cp:contentStatus/>
</cp:coreProperties>
</file>